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F15E8839-56FF-4371-AF62-66C9E41DFD3C}" xr6:coauthVersionLast="47" xr6:coauthVersionMax="47" xr10:uidLastSave="{00000000-0000-0000-0000-000000000000}"/>
  <bookViews>
    <workbookView xWindow="-108" yWindow="-108" windowWidth="23256" windowHeight="12456" tabRatio="779" xr2:uid="{0EAFF640-3BD0-434A-A5EE-F001F7778B18}"/>
  </bookViews>
  <sheets>
    <sheet name="Content" sheetId="1" r:id="rId1"/>
    <sheet name="Key information" sheetId="2" r:id="rId2"/>
    <sheet name="Model calculation" sheetId="3" r:id="rId3"/>
    <sheet name="Sensitivity analysis" sheetId="4" r:id="rId4"/>
    <sheet name="CAPEX, D&amp;A" sheetId="6" r:id="rId5"/>
    <sheet name="Corporate cost allocations" sheetId="8" r:id="rId6"/>
    <sheet name="Tax" sheetId="11" r:id="rId7"/>
    <sheet name="Net working capital" sheetId="7" r:id="rId8"/>
    <sheet name="Discount rate" sheetId="9" r:id="rId9"/>
    <sheet name="Peer group"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C15" i="4" s="1"/>
  <c r="C16" i="4" s="1"/>
  <c r="C17" i="4" s="1"/>
  <c r="C18" i="4" s="1"/>
  <c r="C19" i="4" s="1"/>
  <c r="C20" i="4" s="1"/>
  <c r="C21" i="4" s="1"/>
  <c r="E12" i="4"/>
  <c r="F12" i="4" s="1"/>
  <c r="G12" i="4" s="1"/>
  <c r="H12" i="4" s="1"/>
  <c r="I12" i="4" s="1"/>
  <c r="J12" i="4" s="1"/>
  <c r="K12" i="4" s="1"/>
  <c r="L12" i="4" s="1"/>
  <c r="H25" i="3"/>
  <c r="G25" i="3"/>
  <c r="F25" i="3"/>
  <c r="E25" i="3"/>
  <c r="D25" i="3"/>
  <c r="C25" i="3"/>
  <c r="H31" i="3"/>
  <c r="G31" i="3"/>
  <c r="F31" i="3"/>
  <c r="E31" i="3"/>
  <c r="D31" i="3"/>
  <c r="H30" i="3"/>
  <c r="G30" i="3"/>
  <c r="F30" i="3"/>
  <c r="E30" i="3"/>
  <c r="D30" i="3"/>
  <c r="C30" i="3"/>
  <c r="H29" i="3"/>
  <c r="G29" i="3"/>
  <c r="F29" i="3"/>
  <c r="E29" i="3"/>
  <c r="D29" i="3"/>
  <c r="C29" i="3"/>
  <c r="C46" i="2"/>
  <c r="C36" i="2"/>
  <c r="C6" i="3"/>
  <c r="C26" i="2" s="1"/>
  <c r="C47" i="2" l="1"/>
  <c r="C9" i="9" l="1"/>
  <c r="C14" i="9" s="1"/>
  <c r="C16" i="9"/>
  <c r="C23" i="9" s="1"/>
  <c r="C24" i="9" s="1"/>
  <c r="C21" i="9"/>
  <c r="H7" i="8"/>
  <c r="G7" i="8"/>
  <c r="F7" i="8"/>
  <c r="E7" i="8"/>
  <c r="D7" i="8"/>
  <c r="C7" i="8"/>
  <c r="H9" i="7"/>
  <c r="G9" i="7"/>
  <c r="F9" i="7"/>
  <c r="E9" i="7"/>
  <c r="D9" i="7"/>
  <c r="H7" i="7"/>
  <c r="G7" i="7"/>
  <c r="F7" i="7"/>
  <c r="E7" i="7"/>
  <c r="D7" i="7"/>
  <c r="C7" i="7"/>
  <c r="H22" i="6"/>
  <c r="G22" i="6"/>
  <c r="F22" i="6"/>
  <c r="E22" i="6"/>
  <c r="D22" i="6"/>
  <c r="C22" i="6"/>
  <c r="K13" i="6"/>
  <c r="L16" i="6"/>
  <c r="L15" i="6"/>
  <c r="L14" i="6"/>
  <c r="L13" i="6"/>
  <c r="K16" i="6"/>
  <c r="K15" i="6"/>
  <c r="K14" i="6"/>
  <c r="C15" i="9" l="1"/>
  <c r="C18" i="9" s="1"/>
  <c r="C4" i="9" s="1"/>
  <c r="C5" i="9" s="1"/>
  <c r="C6" i="4" l="1"/>
  <c r="H9" i="6"/>
  <c r="G9" i="6"/>
  <c r="F9" i="6"/>
  <c r="E9" i="6"/>
  <c r="D9" i="6"/>
  <c r="C9" i="6"/>
  <c r="E34" i="3"/>
  <c r="F34" i="3" s="1"/>
  <c r="G34" i="3" s="1"/>
  <c r="H34" i="3" s="1"/>
  <c r="I34" i="3" s="1"/>
  <c r="H58" i="3"/>
  <c r="G58" i="3"/>
  <c r="F58" i="3"/>
  <c r="E58" i="3"/>
  <c r="D58" i="3"/>
  <c r="H47" i="3"/>
  <c r="G47" i="3"/>
  <c r="F47" i="3"/>
  <c r="E47" i="3"/>
  <c r="D47" i="3"/>
  <c r="H44" i="3"/>
  <c r="G44" i="3"/>
  <c r="G51" i="3" s="1"/>
  <c r="G23" i="3" s="1"/>
  <c r="F44" i="3"/>
  <c r="F50" i="3" s="1"/>
  <c r="E44" i="3"/>
  <c r="E50" i="3" s="1"/>
  <c r="D44" i="3"/>
  <c r="D50" i="3" s="1"/>
  <c r="C44" i="3"/>
  <c r="C51" i="3" s="1"/>
  <c r="H55" i="3"/>
  <c r="H59" i="3" s="1"/>
  <c r="H60" i="3" s="1"/>
  <c r="G55" i="3"/>
  <c r="G62" i="3" s="1"/>
  <c r="F55" i="3"/>
  <c r="F62" i="3" s="1"/>
  <c r="E55" i="3"/>
  <c r="E62" i="3" s="1"/>
  <c r="D55" i="3"/>
  <c r="D62" i="3" s="1"/>
  <c r="C55" i="3"/>
  <c r="D51" i="3" l="1"/>
  <c r="D23" i="3" s="1"/>
  <c r="E51" i="3"/>
  <c r="E23" i="3" s="1"/>
  <c r="D61" i="3"/>
  <c r="F61" i="3"/>
  <c r="G50" i="3"/>
  <c r="C62" i="3"/>
  <c r="C23" i="3" s="1"/>
  <c r="F18" i="3"/>
  <c r="C59" i="3"/>
  <c r="C60" i="3" s="1"/>
  <c r="H62" i="3"/>
  <c r="G18" i="3"/>
  <c r="D59" i="3"/>
  <c r="D60" i="3" s="1"/>
  <c r="D63" i="3" s="1"/>
  <c r="C18" i="3"/>
  <c r="F22" i="3"/>
  <c r="H18" i="3"/>
  <c r="C61" i="3"/>
  <c r="C40" i="2"/>
  <c r="I35" i="3"/>
  <c r="F35" i="3"/>
  <c r="D35" i="3"/>
  <c r="H35" i="3"/>
  <c r="G35" i="3"/>
  <c r="E35" i="3"/>
  <c r="D22" i="3"/>
  <c r="C48" i="3"/>
  <c r="F51" i="3"/>
  <c r="F23" i="3" s="1"/>
  <c r="E60" i="3"/>
  <c r="E63" i="3" s="1"/>
  <c r="E61" i="3"/>
  <c r="E22" i="3" s="1"/>
  <c r="H50" i="3"/>
  <c r="E48" i="3"/>
  <c r="H51" i="3"/>
  <c r="E59" i="3"/>
  <c r="G61" i="3"/>
  <c r="G22" i="3" s="1"/>
  <c r="E18" i="3"/>
  <c r="D48" i="3"/>
  <c r="F48" i="3"/>
  <c r="F59" i="3"/>
  <c r="F60" i="3" s="1"/>
  <c r="F63" i="3" s="1"/>
  <c r="H61" i="3"/>
  <c r="D18" i="3"/>
  <c r="G48" i="3"/>
  <c r="G49" i="3" s="1"/>
  <c r="G52" i="3" s="1"/>
  <c r="C50" i="3"/>
  <c r="G59" i="3"/>
  <c r="G60" i="3" s="1"/>
  <c r="G63" i="3" s="1"/>
  <c r="H48" i="3"/>
  <c r="H20" i="3" s="1"/>
  <c r="H21" i="3" s="1"/>
  <c r="C22" i="3" l="1"/>
  <c r="C63" i="3"/>
  <c r="H63" i="3"/>
  <c r="E20" i="3"/>
  <c r="C45" i="2"/>
  <c r="H23" i="3"/>
  <c r="H49" i="3"/>
  <c r="H52" i="3" s="1"/>
  <c r="D49" i="3"/>
  <c r="D52" i="3" s="1"/>
  <c r="D20" i="3"/>
  <c r="C49" i="3"/>
  <c r="C52" i="3" s="1"/>
  <c r="C20" i="3"/>
  <c r="C21" i="3" s="1"/>
  <c r="C24" i="3" s="1"/>
  <c r="C26" i="3" s="1"/>
  <c r="H22" i="3"/>
  <c r="E21" i="3"/>
  <c r="E24" i="3" s="1"/>
  <c r="E26" i="3" s="1"/>
  <c r="F49" i="3"/>
  <c r="F52" i="3" s="1"/>
  <c r="F20" i="3"/>
  <c r="F21" i="3" s="1"/>
  <c r="F24" i="3" s="1"/>
  <c r="F26" i="3" s="1"/>
  <c r="G20" i="3"/>
  <c r="G21" i="3" s="1"/>
  <c r="G24" i="3" s="1"/>
  <c r="G26" i="3" s="1"/>
  <c r="D21" i="3"/>
  <c r="D24" i="3" s="1"/>
  <c r="D26" i="3" s="1"/>
  <c r="E49" i="3"/>
  <c r="E52" i="3" s="1"/>
  <c r="H24" i="3" l="1"/>
  <c r="H26" i="3" s="1"/>
  <c r="D3" i="11"/>
  <c r="D7" i="11" s="1"/>
  <c r="D27" i="3" s="1"/>
  <c r="D28" i="3" s="1"/>
  <c r="D32" i="3" s="1"/>
  <c r="D36" i="3" s="1"/>
  <c r="E3" i="11"/>
  <c r="E7" i="11" s="1"/>
  <c r="E27" i="3" s="1"/>
  <c r="E28" i="3" s="1"/>
  <c r="E32" i="3" s="1"/>
  <c r="E36" i="3" s="1"/>
  <c r="G3" i="11"/>
  <c r="G7" i="11" s="1"/>
  <c r="G27" i="3" s="1"/>
  <c r="G28" i="3" s="1"/>
  <c r="G32" i="3" s="1"/>
  <c r="G36" i="3" s="1"/>
  <c r="H3" i="11"/>
  <c r="H7" i="11" s="1"/>
  <c r="H27" i="3" s="1"/>
  <c r="H28" i="3" s="1"/>
  <c r="H32" i="3" s="1"/>
  <c r="F3" i="11"/>
  <c r="F7" i="11" s="1"/>
  <c r="F27" i="3" s="1"/>
  <c r="F28" i="3" s="1"/>
  <c r="F32" i="3" s="1"/>
  <c r="F36" i="3" s="1"/>
  <c r="C3" i="11"/>
  <c r="C7" i="11" s="1"/>
  <c r="C27" i="3" s="1"/>
  <c r="C28" i="3" s="1"/>
  <c r="C32" i="3" s="1"/>
  <c r="H36" i="3" l="1"/>
  <c r="I32" i="3"/>
  <c r="I36" i="3" s="1"/>
  <c r="I41" i="3" l="1"/>
  <c r="C5" i="3" s="1"/>
  <c r="C13" i="3" s="1"/>
  <c r="C44" i="2" l="1"/>
  <c r="C12" i="4"/>
</calcChain>
</file>

<file path=xl/sharedStrings.xml><?xml version="1.0" encoding="utf-8"?>
<sst xmlns="http://schemas.openxmlformats.org/spreadsheetml/2006/main" count="274" uniqueCount="223">
  <si>
    <t>Content</t>
    <phoneticPr fontId="1" type="noConversion"/>
  </si>
  <si>
    <t>Tab</t>
    <phoneticPr fontId="1" type="noConversion"/>
  </si>
  <si>
    <t>Valuation model (IFRS reporting)</t>
    <phoneticPr fontId="1" type="noConversion"/>
  </si>
  <si>
    <t>Key developments - market</t>
    <phoneticPr fontId="1" type="noConversion"/>
  </si>
  <si>
    <t>Key developments - company</t>
    <phoneticPr fontId="1" type="noConversion"/>
  </si>
  <si>
    <t>Model inputs</t>
    <phoneticPr fontId="1" type="noConversion"/>
  </si>
  <si>
    <t>Subject of valuation</t>
    <phoneticPr fontId="1" type="noConversion"/>
  </si>
  <si>
    <t>Country</t>
    <phoneticPr fontId="1" type="noConversion"/>
  </si>
  <si>
    <t>Country tax rate</t>
    <phoneticPr fontId="1" type="noConversion"/>
  </si>
  <si>
    <t>Valuation date</t>
    <phoneticPr fontId="1" type="noConversion"/>
  </si>
  <si>
    <t>IFRS carrying amount</t>
    <phoneticPr fontId="1" type="noConversion"/>
  </si>
  <si>
    <t>IFRS write-up potential</t>
    <phoneticPr fontId="1" type="noConversion"/>
  </si>
  <si>
    <t>Forecast basis (nominal / real)</t>
    <phoneticPr fontId="1" type="noConversion"/>
  </si>
  <si>
    <t>Cash flows</t>
    <phoneticPr fontId="1" type="noConversion"/>
  </si>
  <si>
    <t>Forecast input</t>
    <phoneticPr fontId="1" type="noConversion"/>
  </si>
  <si>
    <t>Actual data</t>
    <phoneticPr fontId="1" type="noConversion"/>
  </si>
  <si>
    <t>Last year forecasted data</t>
    <phoneticPr fontId="1" type="noConversion"/>
  </si>
  <si>
    <t>First year forecasted data</t>
    <phoneticPr fontId="1" type="noConversion"/>
  </si>
  <si>
    <t>Forecast horizon (years)</t>
    <phoneticPr fontId="1" type="noConversion"/>
  </si>
  <si>
    <t>Discount rate</t>
    <phoneticPr fontId="1" type="noConversion"/>
  </si>
  <si>
    <t>Impairment test discount rate</t>
    <phoneticPr fontId="1" type="noConversion"/>
  </si>
  <si>
    <t>Selected key values</t>
    <phoneticPr fontId="1" type="noConversion"/>
  </si>
  <si>
    <t>Recoverable amount</t>
    <phoneticPr fontId="1" type="noConversion"/>
  </si>
  <si>
    <t>Compound annual growth rate, forecasted horizon</t>
    <phoneticPr fontId="1" type="noConversion"/>
  </si>
  <si>
    <t>TV growth rate</t>
    <phoneticPr fontId="1" type="noConversion"/>
  </si>
  <si>
    <t>CAPEX nominal, forecasted horizon</t>
    <phoneticPr fontId="1" type="noConversion"/>
  </si>
  <si>
    <t>External sources used for valuation</t>
    <phoneticPr fontId="1" type="noConversion"/>
  </si>
  <si>
    <t>The automotive market in the Country A is showing a steady growth and continuing transition to electromobiles is taking place.</t>
    <phoneticPr fontId="1" type="noConversion"/>
  </si>
  <si>
    <t>The Country A's central bank forecasts long term inflation at 1%, and market research shows a short to mid-term GDP growth prognosis at 2%, with unemployment at 4.9%.</t>
    <phoneticPr fontId="1" type="noConversion"/>
  </si>
  <si>
    <t>No major changes to relevant laws and regulation are currently foreseen.</t>
    <phoneticPr fontId="1" type="noConversion"/>
  </si>
  <si>
    <t>Key information</t>
    <phoneticPr fontId="1" type="noConversion"/>
  </si>
  <si>
    <t>Model calculation</t>
    <phoneticPr fontId="1" type="noConversion"/>
  </si>
  <si>
    <t>Sensitivity analysis</t>
    <phoneticPr fontId="1" type="noConversion"/>
  </si>
  <si>
    <t>CAPEX, Depreciation &amp; Amortization</t>
    <phoneticPr fontId="1" type="noConversion"/>
  </si>
  <si>
    <t>Net working capital</t>
    <phoneticPr fontId="1" type="noConversion"/>
  </si>
  <si>
    <t>Corporate cost allocations</t>
    <phoneticPr fontId="1" type="noConversion"/>
  </si>
  <si>
    <t>Contains the key information about the impairment test.</t>
    <phoneticPr fontId="1" type="noConversion"/>
  </si>
  <si>
    <t>Contains the actual calculation of value in use.</t>
    <phoneticPr fontId="1" type="noConversion"/>
  </si>
  <si>
    <t>Contains the result of value in use following change in the key parameters.</t>
    <phoneticPr fontId="1" type="noConversion"/>
  </si>
  <si>
    <t>Contains the depreciation &amp; amortization schedule as well as schedule of planned investments.</t>
    <phoneticPr fontId="1" type="noConversion"/>
  </si>
  <si>
    <t>Contains the schedule with forecasted net working capital funding needs.</t>
    <phoneticPr fontId="1" type="noConversion"/>
  </si>
  <si>
    <t>Contain the calculation of the corporate charges and respective allocations.</t>
    <phoneticPr fontId="1" type="noConversion"/>
  </si>
  <si>
    <t>Contains the calculation of applicable discount rate used in the impairment test.</t>
    <phoneticPr fontId="1" type="noConversion"/>
  </si>
  <si>
    <t>Contains the summary information about the peers for whom the data were obtained for deriving the discount rate.</t>
    <phoneticPr fontId="1" type="noConversion"/>
  </si>
  <si>
    <t>The company produces electromobiles, and has two main models that it sells within its domestic market.</t>
    <phoneticPr fontId="1" type="noConversion"/>
  </si>
  <si>
    <t>The two models share platforms and majority of fixed assets used in producing them, so CAPEX is planned fopr them together.</t>
    <phoneticPr fontId="1" type="noConversion"/>
  </si>
  <si>
    <t>They have some points of difference in terms of quality and brand image, and slightly different distribution methods. As a result, financial</t>
    <phoneticPr fontId="1" type="noConversion"/>
  </si>
  <si>
    <t>planning and operation management are done separately.</t>
    <phoneticPr fontId="1" type="noConversion"/>
  </si>
  <si>
    <t>The two models also have different materials, different labour inputs, and certain operating costs.</t>
    <phoneticPr fontId="1" type="noConversion"/>
  </si>
  <si>
    <t>The company is positioned to capture the increasing demand for electromobility with its also expanding market share and solid pricing power.</t>
    <phoneticPr fontId="1" type="noConversion"/>
  </si>
  <si>
    <t>CGU Domestic cars</t>
    <phoneticPr fontId="1" type="noConversion"/>
  </si>
  <si>
    <t>Country A</t>
    <phoneticPr fontId="1" type="noConversion"/>
  </si>
  <si>
    <t>31.12.2024</t>
    <phoneticPr fontId="1" type="noConversion"/>
  </si>
  <si>
    <t>Result</t>
    <phoneticPr fontId="1" type="noConversion"/>
  </si>
  <si>
    <t>Value in Use</t>
    <phoneticPr fontId="1" type="noConversion"/>
  </si>
  <si>
    <t>CGU carrying amount</t>
    <phoneticPr fontId="1" type="noConversion"/>
  </si>
  <si>
    <t>thereof: directly attributable assets</t>
    <phoneticPr fontId="1" type="noConversion"/>
  </si>
  <si>
    <t>thereof: allocated goodwill</t>
    <phoneticPr fontId="1" type="noConversion"/>
  </si>
  <si>
    <t>thereof: allocated corporate assets</t>
    <phoneticPr fontId="1" type="noConversion"/>
  </si>
  <si>
    <t>thereof: allocated net working capital</t>
    <phoneticPr fontId="1" type="noConversion"/>
  </si>
  <si>
    <t>thereof: decomissioning provision</t>
    <phoneticPr fontId="1" type="noConversion"/>
  </si>
  <si>
    <t>Headroom (+) / Impairment (-)</t>
    <phoneticPr fontId="1" type="noConversion"/>
  </si>
  <si>
    <t>1. Combined</t>
    <phoneticPr fontId="1" type="noConversion"/>
  </si>
  <si>
    <t>Revenue</t>
    <phoneticPr fontId="1" type="noConversion"/>
  </si>
  <si>
    <t>Growth rate %</t>
    <phoneticPr fontId="1" type="noConversion"/>
  </si>
  <si>
    <t>Production expense</t>
    <phoneticPr fontId="1" type="noConversion"/>
  </si>
  <si>
    <t>Gross margin</t>
    <phoneticPr fontId="1" type="noConversion"/>
  </si>
  <si>
    <t>Operating expense</t>
    <phoneticPr fontId="1" type="noConversion"/>
  </si>
  <si>
    <t>Personnel expense</t>
    <phoneticPr fontId="1" type="noConversion"/>
  </si>
  <si>
    <t>EBIT before allocations</t>
    <phoneticPr fontId="1" type="noConversion"/>
  </si>
  <si>
    <t>Corporate cost allocation</t>
    <phoneticPr fontId="1" type="noConversion"/>
  </si>
  <si>
    <t>Taxes</t>
    <phoneticPr fontId="1" type="noConversion"/>
  </si>
  <si>
    <t>NOPAT</t>
    <phoneticPr fontId="1" type="noConversion"/>
  </si>
  <si>
    <t>Depreciation &amp; amortization</t>
    <phoneticPr fontId="1" type="noConversion"/>
  </si>
  <si>
    <t>CAPEX</t>
    <phoneticPr fontId="1" type="noConversion"/>
  </si>
  <si>
    <t>Changes in net working capital</t>
    <phoneticPr fontId="1" type="noConversion"/>
  </si>
  <si>
    <t>Cash flow after tax</t>
    <phoneticPr fontId="1" type="noConversion"/>
  </si>
  <si>
    <t>Discounting - time</t>
    <phoneticPr fontId="1" type="noConversion"/>
  </si>
  <si>
    <t>Discount factor</t>
    <phoneticPr fontId="1" type="noConversion"/>
  </si>
  <si>
    <t>Discounted cash flow after tax</t>
    <phoneticPr fontId="1" type="noConversion"/>
  </si>
  <si>
    <t>less: decomissioning provision</t>
    <phoneticPr fontId="1" type="noConversion"/>
  </si>
  <si>
    <t>Value in use</t>
    <phoneticPr fontId="1" type="noConversion"/>
  </si>
  <si>
    <t>Terminal value</t>
    <phoneticPr fontId="1" type="noConversion"/>
  </si>
  <si>
    <t>Price per unit</t>
    <phoneticPr fontId="1" type="noConversion"/>
  </si>
  <si>
    <t>Quantity sold</t>
    <phoneticPr fontId="1" type="noConversion"/>
  </si>
  <si>
    <t>2. Model Tanda</t>
    <phoneticPr fontId="1" type="noConversion"/>
  </si>
  <si>
    <t>3. Model Dos</t>
    <phoneticPr fontId="1" type="noConversion"/>
  </si>
  <si>
    <t>1. CAPEX</t>
    <phoneticPr fontId="1" type="noConversion"/>
  </si>
  <si>
    <t>Improvement to production facilities</t>
    <phoneticPr fontId="1" type="noConversion"/>
  </si>
  <si>
    <t>Share of overhead investments</t>
    <phoneticPr fontId="1" type="noConversion"/>
  </si>
  <si>
    <t>Acquisitions of machinery</t>
    <phoneticPr fontId="1" type="noConversion"/>
  </si>
  <si>
    <t>Improvements to existing machinery</t>
    <phoneticPr fontId="1" type="noConversion"/>
  </si>
  <si>
    <t>Vehicles</t>
    <phoneticPr fontId="1" type="noConversion"/>
  </si>
  <si>
    <t>Total</t>
    <phoneticPr fontId="1" type="noConversion"/>
  </si>
  <si>
    <t>Investment category</t>
    <phoneticPr fontId="1" type="noConversion"/>
  </si>
  <si>
    <t>2. Depreciation &amp; amortization</t>
    <phoneticPr fontId="1" type="noConversion"/>
  </si>
  <si>
    <t>Asset category</t>
    <phoneticPr fontId="1" type="noConversion"/>
  </si>
  <si>
    <t>Class</t>
    <phoneticPr fontId="1" type="noConversion"/>
  </si>
  <si>
    <t>Asset</t>
    <phoneticPr fontId="1" type="noConversion"/>
  </si>
  <si>
    <t>Description</t>
    <phoneticPr fontId="1" type="noConversion"/>
  </si>
  <si>
    <t>Assignment</t>
    <phoneticPr fontId="1" type="noConversion"/>
  </si>
  <si>
    <t>Useful life</t>
    <phoneticPr fontId="1" type="noConversion"/>
  </si>
  <si>
    <t>Acquisition value</t>
    <phoneticPr fontId="1" type="noConversion"/>
  </si>
  <si>
    <t>Allocated %</t>
    <phoneticPr fontId="1" type="noConversion"/>
  </si>
  <si>
    <t>Accumulated depreciation</t>
    <phoneticPr fontId="1" type="noConversion"/>
  </si>
  <si>
    <t>Net book value</t>
    <phoneticPr fontId="1" type="noConversion"/>
  </si>
  <si>
    <t>Annual depreciation</t>
    <phoneticPr fontId="1" type="noConversion"/>
  </si>
  <si>
    <t>Intangible assets</t>
    <phoneticPr fontId="1" type="noConversion"/>
  </si>
  <si>
    <t>Tangible assets</t>
    <phoneticPr fontId="1" type="noConversion"/>
  </si>
  <si>
    <t>Right of use assets</t>
    <phoneticPr fontId="1" type="noConversion"/>
  </si>
  <si>
    <t>Building</t>
    <phoneticPr fontId="1" type="noConversion"/>
  </si>
  <si>
    <t>Machinery</t>
    <phoneticPr fontId="1" type="noConversion"/>
  </si>
  <si>
    <t>Vehicle</t>
    <phoneticPr fontId="1" type="noConversion"/>
  </si>
  <si>
    <t>Research center</t>
    <phoneticPr fontId="1" type="noConversion"/>
  </si>
  <si>
    <t>Factory building</t>
    <phoneticPr fontId="1" type="noConversion"/>
  </si>
  <si>
    <t>Production line</t>
    <phoneticPr fontId="1" type="noConversion"/>
  </si>
  <si>
    <t>Research center facilities</t>
    <phoneticPr fontId="1" type="noConversion"/>
  </si>
  <si>
    <t>Main production and sales facility</t>
    <phoneticPr fontId="1" type="noConversion"/>
  </si>
  <si>
    <t>Ford</t>
    <phoneticPr fontId="1" type="noConversion"/>
  </si>
  <si>
    <t>DHGKE55GHJ</t>
    <phoneticPr fontId="1" type="noConversion"/>
  </si>
  <si>
    <t>Truck</t>
    <phoneticPr fontId="1" type="noConversion"/>
  </si>
  <si>
    <t>HQ</t>
    <phoneticPr fontId="1" type="noConversion"/>
  </si>
  <si>
    <t>Domestic cars</t>
    <phoneticPr fontId="1" type="noConversion"/>
  </si>
  <si>
    <t>Net working capital - CGU Domestic cars</t>
    <phoneticPr fontId="1" type="noConversion"/>
  </si>
  <si>
    <t>Category</t>
    <phoneticPr fontId="1" type="noConversion"/>
  </si>
  <si>
    <t>Trade receivables</t>
    <phoneticPr fontId="1" type="noConversion"/>
  </si>
  <si>
    <t>Inventory</t>
    <phoneticPr fontId="1" type="noConversion"/>
  </si>
  <si>
    <t>Trade payables</t>
    <phoneticPr fontId="1" type="noConversion"/>
  </si>
  <si>
    <t>Cash inflow (+) / outflow (-)</t>
    <phoneticPr fontId="1" type="noConversion"/>
  </si>
  <si>
    <t>Corporate costs allocations - CGU Domestic cars</t>
    <phoneticPr fontId="1" type="noConversion"/>
  </si>
  <si>
    <t>Common maintenance costs</t>
    <phoneticPr fontId="1" type="noConversion"/>
  </si>
  <si>
    <t>Common energy costs</t>
    <phoneticPr fontId="1" type="noConversion"/>
  </si>
  <si>
    <t>Central headoffice support functions</t>
    <phoneticPr fontId="1" type="noConversion"/>
  </si>
  <si>
    <t>Cost of capital</t>
    <phoneticPr fontId="1" type="noConversion"/>
  </si>
  <si>
    <t>Rounded</t>
    <phoneticPr fontId="1" type="noConversion"/>
  </si>
  <si>
    <t>Cost of equity</t>
    <phoneticPr fontId="1" type="noConversion"/>
  </si>
  <si>
    <t>Cost of debt</t>
    <phoneticPr fontId="1" type="noConversion"/>
  </si>
  <si>
    <t>Risk free rate</t>
    <phoneticPr fontId="1" type="noConversion"/>
  </si>
  <si>
    <t>Beta unlevered</t>
    <phoneticPr fontId="1" type="noConversion"/>
  </si>
  <si>
    <t>Debt to equity ratio</t>
    <phoneticPr fontId="1" type="noConversion"/>
  </si>
  <si>
    <t>Tax rate</t>
    <phoneticPr fontId="1" type="noConversion"/>
  </si>
  <si>
    <t>Premium</t>
    <phoneticPr fontId="1" type="noConversion"/>
  </si>
  <si>
    <t>Credit spread</t>
    <phoneticPr fontId="1" type="noConversion"/>
  </si>
  <si>
    <t>Debt</t>
    <phoneticPr fontId="1" type="noConversion"/>
  </si>
  <si>
    <t>Equity</t>
    <phoneticPr fontId="1" type="noConversion"/>
  </si>
  <si>
    <t>Beta levered</t>
    <phoneticPr fontId="1" type="noConversion"/>
  </si>
  <si>
    <t>Capital structure</t>
    <phoneticPr fontId="1" type="noConversion"/>
  </si>
  <si>
    <t>Sector</t>
    <phoneticPr fontId="1" type="noConversion"/>
  </si>
  <si>
    <t>Company name</t>
    <phoneticPr fontId="1" type="noConversion"/>
  </si>
  <si>
    <t>Focus</t>
    <phoneticPr fontId="1" type="noConversion"/>
  </si>
  <si>
    <t>ElectraDrive Inc.</t>
    <phoneticPr fontId="1" type="noConversion"/>
  </si>
  <si>
    <t>VoltMotion Motors</t>
    <phoneticPr fontId="1" type="noConversion"/>
  </si>
  <si>
    <t>EcoTorque Vehicles</t>
    <phoneticPr fontId="1" type="noConversion"/>
  </si>
  <si>
    <t>GreenWheels Automotive</t>
    <phoneticPr fontId="1" type="noConversion"/>
  </si>
  <si>
    <t>ElectroMotive Corp.</t>
    <phoneticPr fontId="1" type="noConversion"/>
  </si>
  <si>
    <t>QuantumDrive Automotive</t>
    <phoneticPr fontId="1" type="noConversion"/>
  </si>
  <si>
    <t>Premium electric vehicles, high-end market.</t>
    <phoneticPr fontId="1" type="noConversion"/>
  </si>
  <si>
    <t>Affordable electric cars, mass-market penetration.</t>
    <phoneticPr fontId="1" type="noConversion"/>
  </si>
  <si>
    <t>High-performance electric vehicles, eco-friendly design.</t>
    <phoneticPr fontId="1" type="noConversion"/>
  </si>
  <si>
    <t>Urban mobility, compact electric vehicles.</t>
    <phoneticPr fontId="1" type="noConversion"/>
  </si>
  <si>
    <t>Broad range of electric vehicles, innovation in battery tech.</t>
    <phoneticPr fontId="1" type="noConversion"/>
  </si>
  <si>
    <t>Autonomous driving, advanced AI integration in electromobiles.</t>
    <phoneticPr fontId="1" type="noConversion"/>
  </si>
  <si>
    <t>QuantumDrive is a technology-driven electromobile company focused on integrating advanced AI into its electric vehicles. Their main offerings, the QDrive Series and the AlphaX, feature autonomous driving capabilities and smart connectivity with home and work ecosystems. QuantumDrive is recognized as a leader in electric and autonomous vehicle integration.</t>
    <phoneticPr fontId="1" type="noConversion"/>
  </si>
  <si>
    <t>ElectroMotive Corp. manufactures a diverse range of electromobiles, from small city cars to electric pickup trucks. Their popular models include the ElectraX for urban drivers and the TerrainMaster for rural and industrial use. The company has also been pioneering fast-charging technologies and battery innovations to increase the range and usability of its vehicles.</t>
    <phoneticPr fontId="1" type="noConversion"/>
  </si>
  <si>
    <t>GreenWheels Automotive produces electric compact cars for urban environments. The company's models, MetroOne and CityGlide, are popular in densely populated areas due to their compact size and energy efficiency. GreenWheels has also expanded into electric bikes and scooters, aiming to offer a full range of eco-friendly urban mobility solutions.</t>
    <phoneticPr fontId="1" type="noConversion"/>
  </si>
  <si>
    <t>EcoTorque specializes in high-performance electric vehicles, blending environmental responsibility with speed and design. The company’s main models, the VeloCity and the SwiftDrive, are known for their sleek design and rapid acceleration. EcoTorque is also focused on sustainability, with an emphasis on recycling batteries and minimizing carbon footprint.</t>
    <phoneticPr fontId="1" type="noConversion"/>
  </si>
  <si>
    <t>VoltMotion Motors focuses on producing mid-range electromobiles aimed at the mass market. Their primary models, the Volt 5 and the Volt V2, cater to eco-conscious consumers looking for affordable electric solutions. The company is known for its efficient production techniques and widespread charging infrastructure in Country A.</t>
    <phoneticPr fontId="1" type="noConversion"/>
  </si>
  <si>
    <t>ElectraDrive is a leading electromobile manufacturer in Country A, specializing in luxury electric sedans and SUVs. Their flagship models, the Voltaris and the ThunderMax, have garnered significant market share in the premium electromobile segment. The company is heavily invested in cutting-edge battery technology and autonomous driving features.</t>
    <phoneticPr fontId="1" type="noConversion"/>
  </si>
  <si>
    <t>Electromobiles</t>
    <phoneticPr fontId="1" type="noConversion"/>
  </si>
  <si>
    <t>Artificial intelligence, electromobiles</t>
    <phoneticPr fontId="1" type="noConversion"/>
  </si>
  <si>
    <t>Key information'!A1</t>
  </si>
  <si>
    <t>Model calculation'!A1</t>
  </si>
  <si>
    <t>Sensitivity analysis'!A1</t>
  </si>
  <si>
    <t>CAPEX, D&amp;A'!A1</t>
  </si>
  <si>
    <t>Net working capital'!A1</t>
  </si>
  <si>
    <t>Corporate cost allocations'!A1</t>
  </si>
  <si>
    <t>Discount rate'!A1</t>
  </si>
  <si>
    <t>Peer group'!A1</t>
  </si>
  <si>
    <t>Avistaed Impairment Examples Inc.</t>
    <phoneticPr fontId="1" type="noConversion"/>
  </si>
  <si>
    <t>Content description</t>
    <phoneticPr fontId="1" type="noConversion"/>
  </si>
  <si>
    <t>Peer group</t>
    <phoneticPr fontId="1" type="noConversion"/>
  </si>
  <si>
    <t>thereof: deferred taxes (+ asset, - liability)</t>
    <phoneticPr fontId="1" type="noConversion"/>
  </si>
  <si>
    <t>Nominal</t>
    <phoneticPr fontId="1" type="noConversion"/>
  </si>
  <si>
    <t>Company Business Plan 20240121</t>
    <phoneticPr fontId="1" type="noConversion"/>
  </si>
  <si>
    <t>Discount rate</t>
    <phoneticPr fontId="1" type="noConversion"/>
  </si>
  <si>
    <t>Terminal growth rate</t>
    <phoneticPr fontId="1" type="noConversion"/>
  </si>
  <si>
    <t>Source</t>
    <phoneticPr fontId="1" type="noConversion"/>
  </si>
  <si>
    <t>Description</t>
    <phoneticPr fontId="1" type="noConversion"/>
  </si>
  <si>
    <t>Sector specific data for valuation</t>
    <phoneticPr fontId="1" type="noConversion"/>
  </si>
  <si>
    <t>Key inputs for peer companies for their cost of equity and cost of debt</t>
    <phoneticPr fontId="1" type="noConversion"/>
  </si>
  <si>
    <t>Macroeconomic data (e.g., inflation)</t>
    <phoneticPr fontId="1" type="noConversion"/>
  </si>
  <si>
    <t>Market data (e.g., market growth, estimated demand)</t>
    <phoneticPr fontId="1" type="noConversion"/>
  </si>
  <si>
    <t>Key developments</t>
    <phoneticPr fontId="1" type="noConversion"/>
  </si>
  <si>
    <t>EBIT after allocations</t>
    <phoneticPr fontId="1" type="noConversion"/>
  </si>
  <si>
    <t>EBIT</t>
    <phoneticPr fontId="1" type="noConversion"/>
  </si>
  <si>
    <t>Tax non-deductive expense</t>
    <phoneticPr fontId="1" type="noConversion"/>
  </si>
  <si>
    <t>Non-taxable income</t>
    <phoneticPr fontId="1" type="noConversion"/>
  </si>
  <si>
    <r>
      <t>Interest expense</t>
    </r>
    <r>
      <rPr>
        <vertAlign val="superscript"/>
        <sz val="11"/>
        <color theme="1"/>
        <rFont val="Lato"/>
        <family val="2"/>
      </rPr>
      <t>1</t>
    </r>
    <phoneticPr fontId="1" type="noConversion"/>
  </si>
  <si>
    <t>Tax</t>
    <phoneticPr fontId="1" type="noConversion"/>
  </si>
  <si>
    <t>Contains the calculation of tax that is inseparable from CGU.</t>
    <phoneticPr fontId="1" type="noConversion"/>
  </si>
  <si>
    <t>Tax!A1</t>
  </si>
  <si>
    <r>
      <t>Income tax expense</t>
    </r>
    <r>
      <rPr>
        <vertAlign val="superscript"/>
        <sz val="11"/>
        <color theme="1"/>
        <rFont val="Lato"/>
        <family val="2"/>
      </rPr>
      <t>2</t>
    </r>
    <phoneticPr fontId="1" type="noConversion"/>
  </si>
  <si>
    <r>
      <t>Impairment discount rate</t>
    </r>
    <r>
      <rPr>
        <b/>
        <u/>
        <vertAlign val="superscript"/>
        <sz val="11"/>
        <color theme="1"/>
        <rFont val="Lato"/>
        <family val="2"/>
      </rPr>
      <t>1</t>
    </r>
    <phoneticPr fontId="1" type="noConversion"/>
  </si>
  <si>
    <r>
      <rPr>
        <vertAlign val="superscript"/>
        <sz val="8"/>
        <color theme="1"/>
        <rFont val="lato"/>
        <family val="2"/>
      </rPr>
      <t>1</t>
    </r>
    <r>
      <rPr>
        <sz val="8"/>
        <color theme="1"/>
        <rFont val="lato"/>
        <family val="2"/>
      </rPr>
      <t>For the detailed calculation of the inputs into discount rate calculation, please refer to the file "IDR calculation file.xlsx".</t>
    </r>
    <phoneticPr fontId="1" type="noConversion"/>
  </si>
  <si>
    <r>
      <rPr>
        <vertAlign val="superscript"/>
        <sz val="8"/>
        <color theme="1"/>
        <rFont val="lato"/>
        <family val="2"/>
      </rPr>
      <t>1</t>
    </r>
    <r>
      <rPr>
        <sz val="8"/>
        <color theme="1"/>
        <rFont val="lato"/>
        <family val="2"/>
      </rPr>
      <t>Based on the debt schedule, separate file</t>
    </r>
    <phoneticPr fontId="1" type="noConversion"/>
  </si>
  <si>
    <r>
      <rPr>
        <vertAlign val="superscript"/>
        <sz val="8"/>
        <color theme="1"/>
        <rFont val="lato"/>
        <family val="2"/>
      </rPr>
      <t>2</t>
    </r>
    <r>
      <rPr>
        <sz val="8"/>
        <color theme="1"/>
        <rFont val="lato"/>
        <family val="2"/>
      </rPr>
      <t>Aligned with the calculation of effective tax rate</t>
    </r>
    <phoneticPr fontId="1" type="noConversion"/>
  </si>
  <si>
    <t>Notes</t>
    <phoneticPr fontId="1" type="noConversion"/>
  </si>
  <si>
    <r>
      <t>The following companies were used as peers in order to obtain the key inputs into the discount rate calculation (CapitalIQ, Bloomberg).</t>
    </r>
    <r>
      <rPr>
        <vertAlign val="superscript"/>
        <sz val="11"/>
        <color theme="1"/>
        <rFont val="Lato"/>
        <family val="2"/>
      </rPr>
      <t>1</t>
    </r>
    <phoneticPr fontId="1" type="noConversion"/>
  </si>
  <si>
    <r>
      <t>Financial model</t>
    </r>
    <r>
      <rPr>
        <b/>
        <vertAlign val="superscript"/>
        <sz val="11"/>
        <color theme="1"/>
        <rFont val="Lato"/>
        <family val="2"/>
      </rPr>
      <t>1</t>
    </r>
    <phoneticPr fontId="1" type="noConversion"/>
  </si>
  <si>
    <r>
      <rPr>
        <vertAlign val="superscript"/>
        <sz val="8"/>
        <color theme="1"/>
        <rFont val="lato"/>
        <family val="2"/>
      </rPr>
      <t>1</t>
    </r>
    <r>
      <rPr>
        <sz val="8"/>
        <color theme="1"/>
        <rFont val="lato"/>
        <family val="2"/>
      </rPr>
      <t>For the detailed business plan, please refer to the file "Company Business Plan 20240121.xlsx"</t>
    </r>
    <phoneticPr fontId="1" type="noConversion"/>
  </si>
  <si>
    <r>
      <t>CapitalIQ</t>
    </r>
    <r>
      <rPr>
        <vertAlign val="superscript"/>
        <sz val="11"/>
        <color theme="1"/>
        <rFont val="Lato"/>
        <family val="2"/>
      </rPr>
      <t>1</t>
    </r>
    <phoneticPr fontId="1" type="noConversion"/>
  </si>
  <si>
    <r>
      <t>Bloomberg</t>
    </r>
    <r>
      <rPr>
        <vertAlign val="superscript"/>
        <sz val="11"/>
        <color theme="1"/>
        <rFont val="Lato"/>
        <family val="2"/>
      </rPr>
      <t>1</t>
    </r>
    <phoneticPr fontId="1" type="noConversion"/>
  </si>
  <si>
    <r>
      <t>Economist Intelligence Unit</t>
    </r>
    <r>
      <rPr>
        <vertAlign val="superscript"/>
        <sz val="11"/>
        <color theme="1"/>
        <rFont val="Lato"/>
        <family val="2"/>
      </rPr>
      <t>1</t>
    </r>
    <phoneticPr fontId="1" type="noConversion"/>
  </si>
  <si>
    <r>
      <t>Industry Report Company Inc.</t>
    </r>
    <r>
      <rPr>
        <vertAlign val="superscript"/>
        <sz val="11"/>
        <color theme="1"/>
        <rFont val="Lato"/>
        <family val="2"/>
      </rPr>
      <t>2</t>
    </r>
    <phoneticPr fontId="1" type="noConversion"/>
  </si>
  <si>
    <r>
      <rPr>
        <vertAlign val="superscript"/>
        <sz val="8"/>
        <color theme="1"/>
        <rFont val="lato"/>
        <family val="2"/>
      </rPr>
      <t>2</t>
    </r>
    <r>
      <rPr>
        <sz val="8"/>
        <color theme="1"/>
        <rFont val="lato"/>
        <family val="2"/>
      </rPr>
      <t>Please refer to the file "EV market longer term outlook.pdf"</t>
    </r>
    <phoneticPr fontId="1" type="noConversion"/>
  </si>
  <si>
    <r>
      <rPr>
        <vertAlign val="superscript"/>
        <sz val="8"/>
        <color theme="1"/>
        <rFont val="lato"/>
        <family val="2"/>
      </rPr>
      <t>1</t>
    </r>
    <r>
      <rPr>
        <sz val="8"/>
        <color theme="1"/>
        <rFont val="lato"/>
        <family val="2"/>
      </rPr>
      <t>Screenshots from CapitalIQ, BT, and EIU are included in the file "Back-up documents.xlsx".</t>
    </r>
    <phoneticPr fontId="1" type="noConversion"/>
  </si>
  <si>
    <t>less: deferred taxes</t>
    <phoneticPr fontId="1" type="noConversion"/>
  </si>
  <si>
    <t>Amount in mn</t>
    <phoneticPr fontId="1" type="noConversion"/>
  </si>
  <si>
    <t>Sensitivity analysis</t>
    <phoneticPr fontId="1" type="noConversion"/>
  </si>
  <si>
    <t>Screenshot of the process:</t>
    <phoneticPr fontId="1" type="noConversion"/>
  </si>
  <si>
    <t>Parameters subject to sensitivity analysis:</t>
    <phoneticPr fontId="1" type="noConversion"/>
  </si>
  <si>
    <t>Values in red color indicate the cases where Carrying amount of the CGU is higher than Value in Use:</t>
    <phoneticPr fontId="1" type="noConversion"/>
  </si>
  <si>
    <t>avistaed</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</si>
</sst>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lato"/>
      <family val="2"/>
      <charset val="129"/>
    </font>
    <font>
      <sz val="8"/>
      <name val="lato"/>
      <family val="2"/>
      <charset val="129"/>
    </font>
    <font>
      <b/>
      <sz val="11"/>
      <color theme="1"/>
      <name val="lato"/>
      <family val="2"/>
    </font>
    <font>
      <b/>
      <sz val="20"/>
      <color theme="1"/>
      <name val="lato"/>
      <family val="2"/>
    </font>
    <font>
      <u/>
      <sz val="11"/>
      <color theme="1"/>
      <name val="lato"/>
      <family val="2"/>
      <charset val="129"/>
    </font>
    <font>
      <b/>
      <u/>
      <sz val="11"/>
      <color theme="1"/>
      <name val="lato"/>
      <family val="2"/>
    </font>
    <font>
      <sz val="11"/>
      <color theme="1"/>
      <name val="lato"/>
      <family val="2"/>
    </font>
    <font>
      <u/>
      <sz val="11"/>
      <color theme="10"/>
      <name val="lato"/>
      <family val="2"/>
      <charset val="129"/>
    </font>
    <font>
      <i/>
      <sz val="11"/>
      <color theme="1"/>
      <name val="lato"/>
      <family val="2"/>
    </font>
    <font>
      <i/>
      <sz val="20"/>
      <color theme="0"/>
      <name val="lato"/>
      <family val="2"/>
    </font>
    <font>
      <b/>
      <sz val="20"/>
      <color theme="0"/>
      <name val="lato"/>
      <family val="2"/>
    </font>
    <font>
      <vertAlign val="superscript"/>
      <sz val="11"/>
      <color theme="1"/>
      <name val="Lato"/>
      <family val="2"/>
    </font>
    <font>
      <b/>
      <u/>
      <vertAlign val="superscript"/>
      <sz val="11"/>
      <color theme="1"/>
      <name val="Lato"/>
      <family val="2"/>
    </font>
    <font>
      <sz val="8"/>
      <color theme="1"/>
      <name val="lato"/>
      <family val="2"/>
    </font>
    <font>
      <vertAlign val="superscript"/>
      <sz val="8"/>
      <color theme="1"/>
      <name val="lato"/>
      <family val="2"/>
    </font>
    <font>
      <u/>
      <sz val="8"/>
      <color theme="1"/>
      <name val="lato"/>
      <family val="2"/>
      <charset val="129"/>
    </font>
    <font>
      <b/>
      <vertAlign val="superscript"/>
      <sz val="11"/>
      <color theme="1"/>
      <name val="Lato"/>
      <family val="2"/>
    </font>
    <font>
      <sz val="11"/>
      <color theme="0" tint="-0.14999847407452621"/>
      <name val="lato"/>
      <family val="2"/>
      <charset val="129"/>
    </font>
    <font>
      <sz val="11"/>
      <color theme="0"/>
      <name val="lato"/>
      <family val="2"/>
      <charset val="129"/>
    </font>
  </fonts>
  <fills count="9">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9" tint="-0.499984740745262"/>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4">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0" borderId="0" xfId="0" applyFont="1">
      <alignment vertical="center"/>
    </xf>
    <xf numFmtId="3" fontId="0" fillId="0" borderId="0" xfId="0" applyNumberFormat="1">
      <alignment vertical="center"/>
    </xf>
    <xf numFmtId="10" fontId="0" fillId="0" borderId="0" xfId="0" applyNumberFormat="1">
      <alignment vertical="center"/>
    </xf>
    <xf numFmtId="0" fontId="0" fillId="0" borderId="1" xfId="0" applyBorder="1">
      <alignment vertical="center"/>
    </xf>
    <xf numFmtId="3" fontId="0" fillId="0" borderId="1" xfId="0" applyNumberFormat="1" applyBorder="1">
      <alignment vertical="center"/>
    </xf>
    <xf numFmtId="9" fontId="0" fillId="0" borderId="1" xfId="0" applyNumberFormat="1" applyBorder="1">
      <alignment vertical="center"/>
    </xf>
    <xf numFmtId="0" fontId="2" fillId="3" borderId="1" xfId="0" applyFont="1" applyFill="1" applyBorder="1">
      <alignment vertical="center"/>
    </xf>
    <xf numFmtId="0" fontId="5" fillId="0" borderId="0" xfId="0" applyFont="1">
      <alignment vertical="center"/>
    </xf>
    <xf numFmtId="0" fontId="2" fillId="0" borderId="1" xfId="0" applyFont="1" applyBorder="1">
      <alignment vertical="center"/>
    </xf>
    <xf numFmtId="0" fontId="2" fillId="3" borderId="1" xfId="0" applyFont="1" applyFill="1" applyBorder="1" applyAlignment="1">
      <alignment horizontal="right" vertical="center"/>
    </xf>
    <xf numFmtId="0" fontId="0" fillId="0" borderId="1" xfId="0" applyBorder="1" applyAlignment="1">
      <alignment horizontal="right" vertical="center"/>
    </xf>
    <xf numFmtId="10" fontId="0" fillId="0" borderId="1" xfId="0" applyNumberFormat="1" applyBorder="1">
      <alignment vertical="center"/>
    </xf>
    <xf numFmtId="4" fontId="0" fillId="0" borderId="1" xfId="0" applyNumberFormat="1" applyBorder="1">
      <alignment vertical="center"/>
    </xf>
    <xf numFmtId="10" fontId="2" fillId="0" borderId="1" xfId="0" applyNumberFormat="1" applyFont="1" applyBorder="1">
      <alignment vertical="center"/>
    </xf>
    <xf numFmtId="0" fontId="2" fillId="2" borderId="1" xfId="0" applyFont="1" applyFill="1" applyBorder="1">
      <alignment vertical="center"/>
    </xf>
    <xf numFmtId="10" fontId="2" fillId="2" borderId="1" xfId="0" applyNumberFormat="1" applyFont="1" applyFill="1" applyBorder="1">
      <alignment vertical="center"/>
    </xf>
    <xf numFmtId="0" fontId="6" fillId="0" borderId="0" xfId="0" applyFont="1" applyAlignment="1">
      <alignment vertical="top"/>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vertical="top" wrapText="1"/>
    </xf>
    <xf numFmtId="0" fontId="6" fillId="0" borderId="0" xfId="0" applyFont="1" applyAlignment="1">
      <alignment horizontal="left" vertical="top" wrapText="1"/>
    </xf>
    <xf numFmtId="0" fontId="5" fillId="0" borderId="0" xfId="0" applyFont="1" applyAlignment="1">
      <alignment vertical="center" wrapText="1"/>
    </xf>
    <xf numFmtId="0" fontId="0" fillId="0" borderId="0" xfId="0" applyAlignment="1">
      <alignment vertical="center" wrapText="1"/>
    </xf>
    <xf numFmtId="0" fontId="0" fillId="5" borderId="0" xfId="0" applyFill="1">
      <alignment vertical="center"/>
    </xf>
    <xf numFmtId="0" fontId="0" fillId="4" borderId="1" xfId="0" applyFill="1" applyBorder="1">
      <alignment vertical="center"/>
    </xf>
    <xf numFmtId="0" fontId="7" fillId="4" borderId="1" xfId="1" quotePrefix="1" applyFill="1" applyBorder="1">
      <alignment vertical="center"/>
    </xf>
    <xf numFmtId="0" fontId="0" fillId="4" borderId="9" xfId="0" applyFill="1" applyBorder="1">
      <alignment vertical="center"/>
    </xf>
    <xf numFmtId="0" fontId="0" fillId="4" borderId="10" xfId="0" applyFill="1" applyBorder="1" applyAlignment="1">
      <alignment vertical="center" wrapText="1"/>
    </xf>
    <xf numFmtId="0" fontId="0" fillId="4" borderId="11" xfId="0" applyFill="1" applyBorder="1">
      <alignment vertical="center"/>
    </xf>
    <xf numFmtId="0" fontId="7" fillId="4" borderId="12" xfId="1" quotePrefix="1" applyFill="1" applyBorder="1">
      <alignment vertical="center"/>
    </xf>
    <xf numFmtId="0" fontId="0" fillId="4" borderId="13" xfId="0" applyFill="1" applyBorder="1" applyAlignment="1">
      <alignment vertical="center" wrapText="1"/>
    </xf>
    <xf numFmtId="0" fontId="0" fillId="4" borderId="14" xfId="0" applyFill="1" applyBorder="1">
      <alignment vertical="center"/>
    </xf>
    <xf numFmtId="0" fontId="7" fillId="4" borderId="15" xfId="1" quotePrefix="1" applyFill="1" applyBorder="1">
      <alignment vertical="center"/>
    </xf>
    <xf numFmtId="0" fontId="0" fillId="4" borderId="16" xfId="0" applyFill="1" applyBorder="1" applyAlignment="1">
      <alignment vertical="center" wrapText="1"/>
    </xf>
    <xf numFmtId="0" fontId="5" fillId="6" borderId="17" xfId="0" applyFont="1" applyFill="1" applyBorder="1">
      <alignment vertical="center"/>
    </xf>
    <xf numFmtId="0" fontId="5" fillId="6" borderId="18" xfId="0" applyFont="1" applyFill="1" applyBorder="1">
      <alignment vertical="center"/>
    </xf>
    <xf numFmtId="0" fontId="5" fillId="6" borderId="19" xfId="0" applyFont="1" applyFill="1" applyBorder="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2" fillId="0" borderId="2" xfId="0" applyFont="1" applyBorder="1">
      <alignment vertical="center"/>
    </xf>
    <xf numFmtId="0" fontId="2" fillId="0" borderId="3"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20" xfId="0" applyFont="1" applyBorder="1">
      <alignment vertical="center"/>
    </xf>
    <xf numFmtId="0" fontId="8" fillId="0" borderId="21" xfId="0" applyFont="1" applyBorder="1">
      <alignment vertical="center"/>
    </xf>
    <xf numFmtId="0" fontId="2" fillId="0" borderId="4" xfId="0" applyFont="1" applyBorder="1">
      <alignment vertical="center"/>
    </xf>
    <xf numFmtId="3" fontId="0" fillId="0" borderId="1" xfId="0" applyNumberFormat="1" applyBorder="1" applyAlignment="1">
      <alignment horizontal="right" vertical="center"/>
    </xf>
    <xf numFmtId="9" fontId="0" fillId="0" borderId="1" xfId="0" applyNumberFormat="1" applyBorder="1" applyAlignment="1">
      <alignment horizontal="right" vertical="center"/>
    </xf>
    <xf numFmtId="10" fontId="0" fillId="0" borderId="0" xfId="0" applyNumberFormat="1" applyAlignment="1">
      <alignment horizontal="right" vertical="center"/>
    </xf>
    <xf numFmtId="176" fontId="0" fillId="0" borderId="1" xfId="0" applyNumberFormat="1" applyBorder="1" applyAlignment="1">
      <alignment horizontal="right" vertical="center"/>
    </xf>
    <xf numFmtId="0" fontId="0" fillId="0" borderId="1" xfId="0" applyBorder="1" applyAlignment="1">
      <alignment horizontal="left" vertical="center" wrapText="1"/>
    </xf>
    <xf numFmtId="0" fontId="2" fillId="6" borderId="1" xfId="0" applyFont="1" applyFill="1" applyBorder="1">
      <alignment vertical="center"/>
    </xf>
    <xf numFmtId="0" fontId="2" fillId="6" borderId="1" xfId="0" applyFont="1" applyFill="1" applyBorder="1" applyAlignment="1">
      <alignment horizontal="left" vertical="center"/>
    </xf>
    <xf numFmtId="10" fontId="0" fillId="0" borderId="1" xfId="0" applyNumberFormat="1" applyBorder="1" applyAlignment="1">
      <alignment horizontal="right" vertical="center"/>
    </xf>
    <xf numFmtId="0" fontId="0" fillId="0" borderId="23" xfId="0" applyBorder="1" applyAlignment="1">
      <alignment horizontal="right" vertical="center"/>
    </xf>
    <xf numFmtId="0" fontId="0" fillId="0" borderId="2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horizontal="right" vertical="center"/>
    </xf>
    <xf numFmtId="0" fontId="0" fillId="0" borderId="28" xfId="0" applyBorder="1">
      <alignment vertical="center"/>
    </xf>
    <xf numFmtId="0" fontId="0" fillId="0" borderId="29" xfId="0" applyBorder="1">
      <alignment vertical="center"/>
    </xf>
    <xf numFmtId="0" fontId="4" fillId="6" borderId="22" xfId="0" applyFont="1" applyFill="1" applyBorder="1">
      <alignment vertical="center"/>
    </xf>
    <xf numFmtId="0" fontId="0" fillId="6" borderId="23" xfId="0" applyFill="1" applyBorder="1" applyAlignment="1">
      <alignment horizontal="right" vertical="center"/>
    </xf>
    <xf numFmtId="0" fontId="0" fillId="6" borderId="23" xfId="0" applyFill="1" applyBorder="1">
      <alignment vertical="center"/>
    </xf>
    <xf numFmtId="0" fontId="0" fillId="6" borderId="24" xfId="0" applyFill="1" applyBorder="1">
      <alignment vertical="center"/>
    </xf>
    <xf numFmtId="0" fontId="2" fillId="3" borderId="1" xfId="0" applyFont="1" applyFill="1" applyBorder="1" applyAlignment="1">
      <alignment vertical="center" wrapText="1"/>
    </xf>
    <xf numFmtId="0" fontId="2" fillId="3" borderId="1" xfId="0" applyFont="1" applyFill="1" applyBorder="1" applyAlignment="1">
      <alignment horizontal="right" vertical="center" wrapText="1"/>
    </xf>
    <xf numFmtId="0" fontId="0" fillId="0" borderId="1" xfId="0" applyBorder="1" applyAlignment="1">
      <alignment vertical="center" wrapText="1"/>
    </xf>
    <xf numFmtId="3" fontId="0" fillId="0" borderId="1" xfId="0" applyNumberFormat="1" applyBorder="1" applyAlignment="1">
      <alignment horizontal="right"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3" fontId="0" fillId="0" borderId="1" xfId="0" applyNumberFormat="1" applyBorder="1" applyAlignment="1">
      <alignment vertical="center" wrapText="1"/>
    </xf>
    <xf numFmtId="9" fontId="0" fillId="0" borderId="1" xfId="0" applyNumberFormat="1" applyBorder="1" applyAlignment="1">
      <alignment vertical="center" wrapText="1"/>
    </xf>
    <xf numFmtId="3" fontId="0" fillId="0" borderId="0" xfId="0" applyNumberFormat="1" applyAlignment="1">
      <alignment vertical="center" wrapText="1"/>
    </xf>
    <xf numFmtId="3" fontId="0" fillId="4" borderId="1" xfId="0" applyNumberFormat="1" applyFill="1" applyBorder="1" applyAlignment="1">
      <alignment horizontal="right" vertical="center"/>
    </xf>
    <xf numFmtId="0" fontId="6" fillId="0" borderId="0" xfId="0" applyFont="1">
      <alignment vertical="center"/>
    </xf>
    <xf numFmtId="4" fontId="0" fillId="4" borderId="1" xfId="0" applyNumberFormat="1" applyFill="1" applyBorder="1" applyAlignment="1">
      <alignment horizontal="right" vertical="center"/>
    </xf>
    <xf numFmtId="176" fontId="0" fillId="4" borderId="1" xfId="0" applyNumberFormat="1" applyFill="1" applyBorder="1" applyAlignment="1">
      <alignment horizontal="right" vertical="center"/>
    </xf>
    <xf numFmtId="3" fontId="2" fillId="0" borderId="5" xfId="0" applyNumberFormat="1" applyFont="1" applyBorder="1">
      <alignment vertical="center"/>
    </xf>
    <xf numFmtId="0" fontId="0" fillId="7" borderId="0" xfId="0" applyFill="1">
      <alignment vertical="center"/>
    </xf>
    <xf numFmtId="3" fontId="2" fillId="0" borderId="1" xfId="0" applyNumberFormat="1" applyFont="1" applyBorder="1" applyAlignment="1">
      <alignment horizontal="right" vertical="center"/>
    </xf>
    <xf numFmtId="0" fontId="13" fillId="0" borderId="0" xfId="0" applyFont="1">
      <alignment vertical="center"/>
    </xf>
    <xf numFmtId="0" fontId="15" fillId="0" borderId="0" xfId="0" applyFont="1">
      <alignment vertical="center"/>
    </xf>
    <xf numFmtId="3" fontId="2" fillId="0" borderId="3" xfId="0" applyNumberFormat="1" applyFont="1" applyBorder="1">
      <alignment vertical="center"/>
    </xf>
    <xf numFmtId="0" fontId="2" fillId="0" borderId="0" xfId="0" applyFont="1">
      <alignment vertical="center"/>
    </xf>
    <xf numFmtId="3" fontId="17" fillId="0" borderId="1" xfId="0" applyNumberFormat="1" applyFont="1" applyBorder="1">
      <alignment vertical="center"/>
    </xf>
    <xf numFmtId="0" fontId="0" fillId="0" borderId="6" xfId="0" applyBorder="1">
      <alignment vertical="center"/>
    </xf>
    <xf numFmtId="10" fontId="0" fillId="0" borderId="10" xfId="0" applyNumberFormat="1" applyBorder="1">
      <alignment vertical="center"/>
    </xf>
    <xf numFmtId="10" fontId="0" fillId="0" borderId="12" xfId="0" applyNumberFormat="1" applyBorder="1">
      <alignment vertical="center"/>
    </xf>
    <xf numFmtId="10" fontId="0" fillId="0" borderId="8" xfId="0" applyNumberFormat="1" applyBorder="1">
      <alignment vertical="center"/>
    </xf>
    <xf numFmtId="0" fontId="0" fillId="0" borderId="11" xfId="0" applyBorder="1">
      <alignment vertical="center"/>
    </xf>
    <xf numFmtId="9" fontId="0" fillId="0" borderId="13" xfId="0" applyNumberFormat="1" applyBorder="1">
      <alignment vertical="center"/>
    </xf>
    <xf numFmtId="0" fontId="0" fillId="2" borderId="7" xfId="0" applyFill="1" applyBorder="1">
      <alignment vertical="center"/>
    </xf>
    <xf numFmtId="0" fontId="0" fillId="8" borderId="9" xfId="0" applyFill="1" applyBorder="1">
      <alignment vertical="center"/>
    </xf>
    <xf numFmtId="3" fontId="0" fillId="0" borderId="10" xfId="0" applyNumberFormat="1" applyBorder="1">
      <alignment vertical="center"/>
    </xf>
    <xf numFmtId="3" fontId="0" fillId="0" borderId="12" xfId="0" applyNumberFormat="1" applyBorder="1">
      <alignment vertical="center"/>
    </xf>
    <xf numFmtId="3" fontId="0" fillId="0" borderId="13" xfId="0" applyNumberFormat="1" applyBorder="1">
      <alignment vertical="center"/>
    </xf>
    <xf numFmtId="9" fontId="0" fillId="0" borderId="0" xfId="0" applyNumberFormat="1">
      <alignment vertical="center"/>
    </xf>
    <xf numFmtId="4" fontId="0" fillId="0" borderId="0" xfId="0" applyNumberFormat="1" applyAlignment="1">
      <alignment vertical="center" wrapText="1"/>
    </xf>
    <xf numFmtId="0" fontId="18" fillId="0" borderId="0" xfId="0" applyFont="1">
      <alignment vertical="center"/>
    </xf>
    <xf numFmtId="0" fontId="10" fillId="7" borderId="0" xfId="0" applyFont="1" applyFill="1" applyAlignment="1">
      <alignment horizontal="center" vertical="center"/>
    </xf>
    <xf numFmtId="0" fontId="9" fillId="7" borderId="0" xfId="0" applyFont="1" applyFill="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8" borderId="33" xfId="0" applyFill="1" applyBorder="1" applyAlignment="1">
      <alignment horizontal="center" vertical="center" textRotation="90"/>
    </xf>
    <xf numFmtId="0" fontId="0" fillId="8" borderId="34" xfId="0" applyFill="1" applyBorder="1" applyAlignment="1">
      <alignment horizontal="center" vertical="center" textRotation="90"/>
    </xf>
    <xf numFmtId="0" fontId="0" fillId="8" borderId="35" xfId="0" applyFill="1" applyBorder="1" applyAlignment="1">
      <alignment horizontal="center" vertical="center" textRotation="90"/>
    </xf>
    <xf numFmtId="0" fontId="18" fillId="0" borderId="0" xfId="0" applyFont="1" applyAlignment="1">
      <alignment vertical="center" wrapText="1"/>
    </xf>
  </cellXfs>
  <cellStyles count="2">
    <cellStyle name="Hyperlink" xfId="1" builtinId="8"/>
    <cellStyle name="Normal" xfId="0" builtinId="0"/>
  </cellStyles>
  <dxfs count="3">
    <dxf>
      <fill>
        <gradientFill degree="90">
          <stop position="0">
            <color theme="0"/>
          </stop>
          <stop position="1">
            <color rgb="FFFF0000"/>
          </stop>
        </gradient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91280</xdr:colOff>
      <xdr:row>1</xdr:row>
      <xdr:rowOff>21190</xdr:rowOff>
    </xdr:from>
    <xdr:to>
      <xdr:col>3</xdr:col>
      <xdr:colOff>3148682</xdr:colOff>
      <xdr:row>34</xdr:row>
      <xdr:rowOff>0</xdr:rowOff>
    </xdr:to>
    <xdr:pic>
      <xdr:nvPicPr>
        <xdr:cNvPr id="2" name="Picture 1">
          <a:extLst>
            <a:ext uri="{FF2B5EF4-FFF2-40B4-BE49-F238E27FC236}">
              <a16:creationId xmlns:a16="http://schemas.microsoft.com/office/drawing/2014/main" id="{F7FCA683-487A-E58E-0B9D-E2EF08F207FE}"/>
            </a:ext>
          </a:extLst>
        </xdr:cNvPr>
        <xdr:cNvPicPr>
          <a:picLocks noChangeAspect="1"/>
        </xdr:cNvPicPr>
      </xdr:nvPicPr>
      <xdr:blipFill>
        <a:blip xmlns:r="http://schemas.openxmlformats.org/officeDocument/2006/relationships" r:embed="rId1"/>
        <a:stretch>
          <a:fillRect/>
        </a:stretch>
      </xdr:blipFill>
      <xdr:spPr>
        <a:xfrm>
          <a:off x="257535" y="229008"/>
          <a:ext cx="8003474" cy="6836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23</xdr:row>
      <xdr:rowOff>60960</xdr:rowOff>
    </xdr:from>
    <xdr:to>
      <xdr:col>15</xdr:col>
      <xdr:colOff>92330</xdr:colOff>
      <xdr:row>49</xdr:row>
      <xdr:rowOff>168130</xdr:rowOff>
    </xdr:to>
    <xdr:pic>
      <xdr:nvPicPr>
        <xdr:cNvPr id="2" name="Picture 1">
          <a:extLst>
            <a:ext uri="{FF2B5EF4-FFF2-40B4-BE49-F238E27FC236}">
              <a16:creationId xmlns:a16="http://schemas.microsoft.com/office/drawing/2014/main" id="{4EB3D8EB-30BA-A1FB-0F6E-44BB0654CEDB}"/>
            </a:ext>
          </a:extLst>
        </xdr:cNvPr>
        <xdr:cNvPicPr>
          <a:picLocks noChangeAspect="1"/>
        </xdr:cNvPicPr>
      </xdr:nvPicPr>
      <xdr:blipFill>
        <a:blip xmlns:r="http://schemas.openxmlformats.org/officeDocument/2006/relationships" r:embed="rId1"/>
        <a:stretch>
          <a:fillRect/>
        </a:stretch>
      </xdr:blipFill>
      <xdr:spPr>
        <a:xfrm>
          <a:off x="685800" y="4930140"/>
          <a:ext cx="10265030" cy="5654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81F61-633C-4547-95C0-A891028A2479}">
  <sheetPr>
    <tabColor theme="9" tint="0.39997558519241921"/>
  </sheetPr>
  <dimension ref="A1:E49"/>
  <sheetViews>
    <sheetView tabSelected="1" zoomScale="55" zoomScaleNormal="55" workbookViewId="0"/>
  </sheetViews>
  <sheetFormatPr defaultColWidth="0" defaultRowHeight="16.8" x14ac:dyDescent="0.4"/>
  <cols>
    <col min="1" max="1" width="2.09765625" style="84" customWidth="1"/>
    <col min="2" max="2" width="35.59765625" style="84" bestFit="1" customWidth="1"/>
    <col min="3" max="3" width="29.19921875" style="84" bestFit="1" customWidth="1"/>
    <col min="4" max="4" width="43.3984375" style="84" customWidth="1"/>
    <col min="5" max="5" width="3" style="84" customWidth="1"/>
    <col min="6" max="16384" width="8.796875" style="84" hidden="1"/>
  </cols>
  <sheetData>
    <row r="1" spans="1:5" customFormat="1" x14ac:dyDescent="0.4">
      <c r="A1" s="84"/>
      <c r="B1" s="84"/>
      <c r="C1" s="84"/>
      <c r="D1" s="84"/>
      <c r="E1" s="84"/>
    </row>
    <row r="2" spans="1:5" customFormat="1" x14ac:dyDescent="0.4">
      <c r="A2" s="84"/>
      <c r="B2" s="84"/>
      <c r="C2" s="84"/>
      <c r="D2" s="84"/>
      <c r="E2" s="84"/>
    </row>
    <row r="3" spans="1:5" customFormat="1" x14ac:dyDescent="0.4">
      <c r="A3" s="84"/>
      <c r="B3" s="84"/>
      <c r="C3" s="84"/>
      <c r="D3" s="84"/>
      <c r="E3" s="84"/>
    </row>
    <row r="4" spans="1:5" customFormat="1" x14ac:dyDescent="0.4">
      <c r="A4" s="84"/>
      <c r="B4" s="84"/>
      <c r="C4" s="84"/>
      <c r="D4" s="84"/>
      <c r="E4" s="84"/>
    </row>
    <row r="5" spans="1:5" customFormat="1" x14ac:dyDescent="0.4">
      <c r="A5" s="84"/>
      <c r="B5" s="84"/>
      <c r="C5" s="84"/>
      <c r="D5" s="84"/>
      <c r="E5" s="84"/>
    </row>
    <row r="6" spans="1:5" customFormat="1" x14ac:dyDescent="0.4">
      <c r="A6" s="84"/>
      <c r="B6" s="84"/>
      <c r="C6" s="84"/>
      <c r="D6" s="84"/>
      <c r="E6" s="84"/>
    </row>
    <row r="7" spans="1:5" customFormat="1" x14ac:dyDescent="0.4">
      <c r="A7" s="84"/>
      <c r="B7" s="84"/>
      <c r="C7" s="84"/>
      <c r="D7" s="84"/>
      <c r="E7" s="84"/>
    </row>
    <row r="8" spans="1:5" customFormat="1" x14ac:dyDescent="0.4">
      <c r="A8" s="84"/>
      <c r="B8" s="84"/>
      <c r="C8" s="84"/>
      <c r="D8" s="84"/>
      <c r="E8" s="84"/>
    </row>
    <row r="9" spans="1:5" customFormat="1" x14ac:dyDescent="0.4">
      <c r="A9" s="84"/>
      <c r="B9" s="84"/>
      <c r="C9" s="84"/>
      <c r="D9" s="84"/>
      <c r="E9" s="84"/>
    </row>
    <row r="10" spans="1:5" customFormat="1" x14ac:dyDescent="0.4">
      <c r="A10" s="84"/>
      <c r="B10" s="84"/>
      <c r="C10" s="84"/>
      <c r="D10" s="84"/>
      <c r="E10" s="84"/>
    </row>
    <row r="11" spans="1:5" customFormat="1" x14ac:dyDescent="0.4">
      <c r="A11" s="84"/>
      <c r="B11" s="84"/>
      <c r="C11" s="84"/>
      <c r="D11" s="84"/>
      <c r="E11" s="84"/>
    </row>
    <row r="12" spans="1:5" customFormat="1" x14ac:dyDescent="0.4">
      <c r="A12" s="84"/>
      <c r="B12" s="84"/>
      <c r="C12" s="84"/>
      <c r="D12" s="84"/>
      <c r="E12" s="84"/>
    </row>
    <row r="13" spans="1:5" customFormat="1" x14ac:dyDescent="0.4">
      <c r="A13" s="84"/>
      <c r="B13" s="84"/>
      <c r="C13" s="84"/>
      <c r="D13" s="84"/>
      <c r="E13" s="84"/>
    </row>
    <row r="14" spans="1:5" customFormat="1" x14ac:dyDescent="0.4">
      <c r="A14" s="84"/>
      <c r="B14" s="84"/>
      <c r="C14" s="84"/>
      <c r="D14" s="84"/>
      <c r="E14" s="84"/>
    </row>
    <row r="15" spans="1:5" customFormat="1" x14ac:dyDescent="0.4">
      <c r="A15" s="84"/>
      <c r="B15" s="84"/>
      <c r="C15" s="84"/>
      <c r="D15" s="84"/>
      <c r="E15" s="84"/>
    </row>
    <row r="16" spans="1:5" customFormat="1" x14ac:dyDescent="0.4">
      <c r="A16" s="84"/>
      <c r="B16" s="84"/>
      <c r="C16" s="84"/>
      <c r="D16" s="84"/>
      <c r="E16" s="84"/>
    </row>
    <row r="17" spans="1:5" customFormat="1" x14ac:dyDescent="0.4">
      <c r="A17" s="84"/>
      <c r="B17" s="84"/>
      <c r="C17" s="84"/>
      <c r="D17" s="84"/>
      <c r="E17" s="84"/>
    </row>
    <row r="18" spans="1:5" customFormat="1" x14ac:dyDescent="0.4">
      <c r="A18" s="84"/>
      <c r="B18" s="84"/>
      <c r="C18" s="84"/>
      <c r="D18" s="84"/>
      <c r="E18" s="84"/>
    </row>
    <row r="19" spans="1:5" customFormat="1" x14ac:dyDescent="0.4">
      <c r="A19" s="84"/>
      <c r="B19" s="84"/>
      <c r="C19" s="84"/>
      <c r="D19" s="84"/>
      <c r="E19" s="84"/>
    </row>
    <row r="20" spans="1:5" customFormat="1" x14ac:dyDescent="0.4">
      <c r="A20" s="84"/>
      <c r="B20" s="84"/>
      <c r="C20" s="84"/>
      <c r="D20" s="84"/>
      <c r="E20" s="84"/>
    </row>
    <row r="21" spans="1:5" customFormat="1" x14ac:dyDescent="0.4">
      <c r="A21" s="84"/>
      <c r="B21" s="84"/>
      <c r="C21" s="84"/>
      <c r="D21" s="84"/>
      <c r="E21" s="84"/>
    </row>
    <row r="22" spans="1:5" customFormat="1" x14ac:dyDescent="0.4">
      <c r="A22" s="84"/>
      <c r="B22" s="84"/>
      <c r="C22" s="84"/>
      <c r="D22" s="84"/>
      <c r="E22" s="84"/>
    </row>
    <row r="23" spans="1:5" customFormat="1" x14ac:dyDescent="0.4">
      <c r="A23" s="84"/>
      <c r="B23" s="84"/>
      <c r="C23" s="84"/>
      <c r="D23" s="84"/>
      <c r="E23" s="84"/>
    </row>
    <row r="24" spans="1:5" customFormat="1" x14ac:dyDescent="0.4">
      <c r="A24" s="84"/>
      <c r="B24" s="84"/>
      <c r="C24" s="84"/>
      <c r="D24" s="84"/>
      <c r="E24" s="84"/>
    </row>
    <row r="25" spans="1:5" customFormat="1" x14ac:dyDescent="0.4">
      <c r="A25" s="84"/>
      <c r="B25" s="84"/>
      <c r="C25" s="84"/>
      <c r="D25" s="84"/>
      <c r="E25" s="84"/>
    </row>
    <row r="26" spans="1:5" customFormat="1" x14ac:dyDescent="0.4">
      <c r="A26" s="84"/>
      <c r="B26" s="84"/>
      <c r="C26" s="84"/>
      <c r="D26" s="84"/>
      <c r="E26" s="84"/>
    </row>
    <row r="27" spans="1:5" customFormat="1" x14ac:dyDescent="0.4">
      <c r="A27" s="84"/>
      <c r="B27" s="84"/>
      <c r="C27" s="84"/>
      <c r="D27" s="84"/>
      <c r="E27" s="84"/>
    </row>
    <row r="28" spans="1:5" customFormat="1" x14ac:dyDescent="0.4">
      <c r="A28" s="84"/>
      <c r="B28" s="84"/>
      <c r="C28" s="84"/>
      <c r="D28" s="84"/>
      <c r="E28" s="84"/>
    </row>
    <row r="29" spans="1:5" customFormat="1" x14ac:dyDescent="0.4">
      <c r="A29" s="84"/>
      <c r="B29" s="84"/>
      <c r="C29" s="84"/>
      <c r="D29" s="84"/>
      <c r="E29" s="84"/>
    </row>
    <row r="30" spans="1:5" customFormat="1" x14ac:dyDescent="0.4">
      <c r="A30" s="84"/>
      <c r="B30" s="84"/>
      <c r="C30" s="84"/>
      <c r="D30" s="84"/>
      <c r="E30" s="84"/>
    </row>
    <row r="31" spans="1:5" customFormat="1" x14ac:dyDescent="0.4">
      <c r="A31" s="84"/>
      <c r="B31" s="84"/>
      <c r="C31" s="84"/>
      <c r="D31" s="84"/>
      <c r="E31" s="84"/>
    </row>
    <row r="32" spans="1:5" customFormat="1" x14ac:dyDescent="0.4">
      <c r="A32" s="84"/>
      <c r="B32" s="84"/>
      <c r="C32" s="84"/>
      <c r="D32" s="84"/>
      <c r="E32" s="84"/>
    </row>
    <row r="33" spans="1:5" customFormat="1" x14ac:dyDescent="0.4">
      <c r="A33" s="84"/>
      <c r="B33" s="84"/>
      <c r="C33" s="84"/>
      <c r="D33" s="84"/>
      <c r="E33" s="84"/>
    </row>
    <row r="34" spans="1:5" customFormat="1" x14ac:dyDescent="0.4">
      <c r="A34" s="84"/>
      <c r="B34" s="84"/>
      <c r="C34" s="84"/>
      <c r="D34" s="84"/>
      <c r="E34" s="84"/>
    </row>
    <row r="35" spans="1:5" customFormat="1" x14ac:dyDescent="0.4">
      <c r="A35" s="84"/>
      <c r="B35" s="84"/>
      <c r="C35" s="84"/>
      <c r="D35" s="84"/>
      <c r="E35" s="84"/>
    </row>
    <row r="36" spans="1:5" customFormat="1" ht="31.2" x14ac:dyDescent="0.4">
      <c r="A36" s="84"/>
      <c r="B36" s="105" t="s">
        <v>178</v>
      </c>
      <c r="C36" s="105"/>
      <c r="D36" s="105"/>
      <c r="E36" s="84"/>
    </row>
    <row r="37" spans="1:5" customFormat="1" ht="31.2" x14ac:dyDescent="0.4">
      <c r="A37" s="84"/>
      <c r="B37" s="106" t="s">
        <v>50</v>
      </c>
      <c r="C37" s="106"/>
      <c r="D37" s="106"/>
      <c r="E37" s="84"/>
    </row>
    <row r="38" spans="1:5" customFormat="1" ht="17.399999999999999" thickBot="1" x14ac:dyDescent="0.45">
      <c r="A38" s="84"/>
      <c r="B38" s="84"/>
      <c r="C38" s="84"/>
      <c r="D38" s="84"/>
      <c r="E38" s="84"/>
    </row>
    <row r="39" spans="1:5" customFormat="1" ht="18" thickTop="1" thickBot="1" x14ac:dyDescent="0.45">
      <c r="A39" s="84"/>
      <c r="B39" s="38" t="s">
        <v>0</v>
      </c>
      <c r="C39" s="39" t="s">
        <v>1</v>
      </c>
      <c r="D39" s="40" t="s">
        <v>179</v>
      </c>
      <c r="E39" s="27"/>
    </row>
    <row r="40" spans="1:5" customFormat="1" ht="33.6" x14ac:dyDescent="0.4">
      <c r="A40" s="84"/>
      <c r="B40" s="35" t="s">
        <v>30</v>
      </c>
      <c r="C40" s="36" t="s">
        <v>170</v>
      </c>
      <c r="D40" s="37" t="s">
        <v>36</v>
      </c>
      <c r="E40" s="27"/>
    </row>
    <row r="41" spans="1:5" customFormat="1" x14ac:dyDescent="0.4">
      <c r="A41" s="84"/>
      <c r="B41" s="30" t="s">
        <v>31</v>
      </c>
      <c r="C41" s="29" t="s">
        <v>171</v>
      </c>
      <c r="D41" s="31" t="s">
        <v>37</v>
      </c>
      <c r="E41" s="27"/>
    </row>
    <row r="42" spans="1:5" customFormat="1" ht="33.6" x14ac:dyDescent="0.4">
      <c r="A42" s="84"/>
      <c r="B42" s="30" t="s">
        <v>32</v>
      </c>
      <c r="C42" s="29" t="s">
        <v>172</v>
      </c>
      <c r="D42" s="31" t="s">
        <v>38</v>
      </c>
      <c r="E42" s="27"/>
    </row>
    <row r="43" spans="1:5" customFormat="1" ht="33.6" x14ac:dyDescent="0.4">
      <c r="A43" s="84"/>
      <c r="B43" s="30" t="s">
        <v>33</v>
      </c>
      <c r="C43" s="29" t="s">
        <v>173</v>
      </c>
      <c r="D43" s="31" t="s">
        <v>39</v>
      </c>
      <c r="E43" s="27"/>
    </row>
    <row r="44" spans="1:5" customFormat="1" ht="33.6" x14ac:dyDescent="0.4">
      <c r="A44" s="84"/>
      <c r="B44" s="30" t="s">
        <v>35</v>
      </c>
      <c r="C44" s="29" t="s">
        <v>175</v>
      </c>
      <c r="D44" s="31" t="s">
        <v>41</v>
      </c>
      <c r="E44" s="27"/>
    </row>
    <row r="45" spans="1:5" customFormat="1" ht="33.6" x14ac:dyDescent="0.4">
      <c r="A45" s="84"/>
      <c r="B45" s="30" t="s">
        <v>198</v>
      </c>
      <c r="C45" s="29" t="s">
        <v>200</v>
      </c>
      <c r="D45" s="31" t="s">
        <v>199</v>
      </c>
      <c r="E45" s="27"/>
    </row>
    <row r="46" spans="1:5" customFormat="1" ht="33.6" x14ac:dyDescent="0.4">
      <c r="A46" s="84"/>
      <c r="B46" s="30" t="s">
        <v>34</v>
      </c>
      <c r="C46" s="29" t="s">
        <v>174</v>
      </c>
      <c r="D46" s="31" t="s">
        <v>40</v>
      </c>
      <c r="E46" s="27"/>
    </row>
    <row r="47" spans="1:5" customFormat="1" ht="33.6" x14ac:dyDescent="0.4">
      <c r="A47" s="84"/>
      <c r="B47" s="30" t="s">
        <v>19</v>
      </c>
      <c r="C47" s="29" t="s">
        <v>176</v>
      </c>
      <c r="D47" s="31" t="s">
        <v>42</v>
      </c>
      <c r="E47" s="27"/>
    </row>
    <row r="48" spans="1:5" customFormat="1" ht="51" thickBot="1" x14ac:dyDescent="0.45">
      <c r="A48" s="84"/>
      <c r="B48" s="32" t="s">
        <v>180</v>
      </c>
      <c r="C48" s="33" t="s">
        <v>177</v>
      </c>
      <c r="D48" s="34" t="s">
        <v>43</v>
      </c>
      <c r="E48" s="27"/>
    </row>
    <row r="49" ht="17.399999999999999" thickTop="1" x14ac:dyDescent="0.4"/>
  </sheetData>
  <mergeCells count="2">
    <mergeCell ref="B36:D36"/>
    <mergeCell ref="B37:D37"/>
  </mergeCells>
  <phoneticPr fontId="1" type="noConversion"/>
  <hyperlinks>
    <hyperlink ref="C40" location="'Key information'!A1" display="'Key information'!A1" xr:uid="{FFE6D901-637D-4600-BF53-83028E511A6A}"/>
    <hyperlink ref="C41" location="'Model calculation'!A1" display="'Model calculation'!A1" xr:uid="{D5FB2506-0058-4E86-BA84-756BE62D0A50}"/>
    <hyperlink ref="C42" location="'Sensitivity analysis'!A1" display="'Sensitivity analysis'!A1" xr:uid="{DB336069-6943-4ADA-ADBF-4186805E482E}"/>
    <hyperlink ref="C43" location="'CAPEX, D&amp;A'!A1" display="'CAPEX, D&amp;A'!A1" xr:uid="{2E268A9B-F435-4DC2-972D-F15B1179CFDA}"/>
    <hyperlink ref="C46" location="'Net working capital'!A1" display="'Net working capital'!A1" xr:uid="{F7155972-2A8D-458D-98EA-FB51929C4DD4}"/>
    <hyperlink ref="C44" location="'Corporate cost allocations'!A1" display="'Corporate cost allocations'!A1" xr:uid="{4E6E9360-30EF-4A92-BB4A-B978D117DE0A}"/>
    <hyperlink ref="C47" location="'Discount rate'!A1" display="'Discount rate'!A1" xr:uid="{D5930CEA-8C81-4A7D-8011-186A6E96168D}"/>
    <hyperlink ref="C48" location="'Peer group'!A1" display="'Peer group'!A1" xr:uid="{25AC0471-ACCA-4708-AF33-2B90125A645D}"/>
    <hyperlink ref="C45" location="Tax!A1" display="Tax!A1" xr:uid="{979985E1-BE65-4AA8-9E18-AF7D9925F45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A25-15F2-47BB-850C-31DB33195985}">
  <sheetPr>
    <tabColor theme="9" tint="0.39997558519241921"/>
  </sheetPr>
  <dimension ref="B2:L59"/>
  <sheetViews>
    <sheetView showGridLines="0" zoomScale="70" zoomScaleNormal="70" workbookViewId="0"/>
  </sheetViews>
  <sheetFormatPr defaultRowHeight="16.8" x14ac:dyDescent="0.4"/>
  <cols>
    <col min="1" max="1" width="2.296875" customWidth="1"/>
    <col min="2" max="2" width="46.3984375" customWidth="1"/>
    <col min="3" max="3" width="30.09765625" style="41" customWidth="1"/>
  </cols>
  <sheetData>
    <row r="2" spans="2:12" ht="31.2" x14ac:dyDescent="0.4">
      <c r="B2" s="3" t="s">
        <v>2</v>
      </c>
    </row>
    <row r="4" spans="2:12" s="1" customFormat="1" x14ac:dyDescent="0.4">
      <c r="B4" s="2" t="s">
        <v>192</v>
      </c>
      <c r="C4" s="42"/>
    </row>
    <row r="6" spans="2:12" x14ac:dyDescent="0.4">
      <c r="B6" s="66" t="s">
        <v>3</v>
      </c>
      <c r="C6" s="67"/>
      <c r="D6" s="68"/>
      <c r="E6" s="68"/>
      <c r="F6" s="68"/>
      <c r="G6" s="68"/>
      <c r="H6" s="68"/>
      <c r="I6" s="68"/>
      <c r="J6" s="68"/>
      <c r="K6" s="68"/>
      <c r="L6" s="69"/>
    </row>
    <row r="7" spans="2:12" x14ac:dyDescent="0.4">
      <c r="B7" s="60" t="s">
        <v>27</v>
      </c>
      <c r="L7" s="61"/>
    </row>
    <row r="8" spans="2:12" x14ac:dyDescent="0.4">
      <c r="B8" s="60" t="s">
        <v>28</v>
      </c>
      <c r="L8" s="61"/>
    </row>
    <row r="9" spans="2:12" x14ac:dyDescent="0.4">
      <c r="B9" s="62" t="s">
        <v>29</v>
      </c>
      <c r="C9" s="63"/>
      <c r="D9" s="64"/>
      <c r="E9" s="64"/>
      <c r="F9" s="64"/>
      <c r="G9" s="64"/>
      <c r="H9" s="64"/>
      <c r="I9" s="64"/>
      <c r="J9" s="64"/>
      <c r="K9" s="64"/>
      <c r="L9" s="65"/>
    </row>
    <row r="11" spans="2:12" x14ac:dyDescent="0.4">
      <c r="B11" s="66" t="s">
        <v>4</v>
      </c>
      <c r="C11" s="67"/>
      <c r="D11" s="68"/>
      <c r="E11" s="68"/>
      <c r="F11" s="68"/>
      <c r="G11" s="68"/>
      <c r="H11" s="68"/>
      <c r="I11" s="68"/>
      <c r="J11" s="68"/>
      <c r="K11" s="68"/>
      <c r="L11" s="69"/>
    </row>
    <row r="12" spans="2:12" x14ac:dyDescent="0.4">
      <c r="B12" s="60" t="s">
        <v>44</v>
      </c>
      <c r="L12" s="61"/>
    </row>
    <row r="13" spans="2:12" x14ac:dyDescent="0.4">
      <c r="B13" s="60" t="s">
        <v>45</v>
      </c>
      <c r="L13" s="61"/>
    </row>
    <row r="14" spans="2:12" x14ac:dyDescent="0.4">
      <c r="B14" s="60" t="s">
        <v>46</v>
      </c>
      <c r="L14" s="61"/>
    </row>
    <row r="15" spans="2:12" x14ac:dyDescent="0.4">
      <c r="B15" s="60" t="s">
        <v>47</v>
      </c>
      <c r="L15" s="61"/>
    </row>
    <row r="16" spans="2:12" x14ac:dyDescent="0.4">
      <c r="B16" s="60" t="s">
        <v>48</v>
      </c>
      <c r="L16" s="61"/>
    </row>
    <row r="17" spans="2:12" x14ac:dyDescent="0.4">
      <c r="B17" s="60" t="s">
        <v>49</v>
      </c>
      <c r="L17" s="61"/>
    </row>
    <row r="18" spans="2:12" x14ac:dyDescent="0.4">
      <c r="B18" s="59"/>
      <c r="C18" s="58"/>
      <c r="D18" s="59"/>
      <c r="E18" s="59"/>
      <c r="F18" s="59"/>
      <c r="G18" s="59"/>
      <c r="H18" s="59"/>
      <c r="I18" s="59"/>
      <c r="J18" s="59"/>
      <c r="K18" s="59"/>
      <c r="L18" s="59"/>
    </row>
    <row r="20" spans="2:12" s="1" customFormat="1" x14ac:dyDescent="0.4">
      <c r="B20" s="2" t="s">
        <v>5</v>
      </c>
      <c r="C20" s="42"/>
    </row>
    <row r="22" spans="2:12" x14ac:dyDescent="0.4">
      <c r="B22" s="6" t="s">
        <v>6</v>
      </c>
      <c r="C22" s="13" t="s">
        <v>50</v>
      </c>
    </row>
    <row r="23" spans="2:12" x14ac:dyDescent="0.4">
      <c r="B23" s="6" t="s">
        <v>7</v>
      </c>
      <c r="C23" s="13" t="s">
        <v>51</v>
      </c>
    </row>
    <row r="24" spans="2:12" x14ac:dyDescent="0.4">
      <c r="B24" s="6" t="s">
        <v>8</v>
      </c>
      <c r="C24" s="51">
        <v>0.19</v>
      </c>
    </row>
    <row r="25" spans="2:12" x14ac:dyDescent="0.4">
      <c r="B25" s="6" t="s">
        <v>9</v>
      </c>
      <c r="C25" s="13" t="s">
        <v>52</v>
      </c>
    </row>
    <row r="26" spans="2:12" x14ac:dyDescent="0.4">
      <c r="B26" s="6" t="s">
        <v>10</v>
      </c>
      <c r="C26" s="13">
        <f>+'Model calculation'!C6</f>
        <v>1184</v>
      </c>
    </row>
    <row r="27" spans="2:12" x14ac:dyDescent="0.4">
      <c r="B27" s="6" t="s">
        <v>11</v>
      </c>
      <c r="C27" s="13">
        <v>0</v>
      </c>
    </row>
    <row r="28" spans="2:12" x14ac:dyDescent="0.4">
      <c r="B28" s="6" t="s">
        <v>12</v>
      </c>
      <c r="C28" s="13" t="s">
        <v>182</v>
      </c>
    </row>
    <row r="30" spans="2:12" s="1" customFormat="1" x14ac:dyDescent="0.4">
      <c r="B30" s="2" t="s">
        <v>13</v>
      </c>
      <c r="C30" s="42"/>
    </row>
    <row r="32" spans="2:12" x14ac:dyDescent="0.4">
      <c r="B32" s="6" t="s">
        <v>14</v>
      </c>
      <c r="C32" s="13" t="s">
        <v>183</v>
      </c>
    </row>
    <row r="33" spans="2:3" x14ac:dyDescent="0.4">
      <c r="B33" s="6" t="s">
        <v>15</v>
      </c>
      <c r="C33" s="13">
        <v>2024</v>
      </c>
    </row>
    <row r="34" spans="2:3" x14ac:dyDescent="0.4">
      <c r="B34" s="6" t="s">
        <v>17</v>
      </c>
      <c r="C34" s="13">
        <v>2025</v>
      </c>
    </row>
    <row r="35" spans="2:3" x14ac:dyDescent="0.4">
      <c r="B35" s="6" t="s">
        <v>16</v>
      </c>
      <c r="C35" s="13">
        <v>2029</v>
      </c>
    </row>
    <row r="36" spans="2:3" x14ac:dyDescent="0.4">
      <c r="B36" s="6" t="s">
        <v>18</v>
      </c>
      <c r="C36" s="13">
        <f>+C35-C34+1</f>
        <v>5</v>
      </c>
    </row>
    <row r="38" spans="2:3" s="1" customFormat="1" x14ac:dyDescent="0.4">
      <c r="B38" s="2" t="s">
        <v>19</v>
      </c>
      <c r="C38" s="42"/>
    </row>
    <row r="40" spans="2:3" x14ac:dyDescent="0.4">
      <c r="B40" s="6" t="s">
        <v>20</v>
      </c>
      <c r="C40" s="57">
        <f>+'Sensitivity analysis'!C6</f>
        <v>7.2500000000000009E-2</v>
      </c>
    </row>
    <row r="42" spans="2:3" s="1" customFormat="1" x14ac:dyDescent="0.4">
      <c r="B42" s="2" t="s">
        <v>21</v>
      </c>
      <c r="C42" s="42"/>
    </row>
    <row r="44" spans="2:3" x14ac:dyDescent="0.4">
      <c r="B44" s="6" t="s">
        <v>22</v>
      </c>
      <c r="C44" s="50">
        <f>+'Model calculation'!C5</f>
        <v>878.53866389875327</v>
      </c>
    </row>
    <row r="45" spans="2:3" x14ac:dyDescent="0.4">
      <c r="B45" s="6" t="s">
        <v>23</v>
      </c>
      <c r="C45" s="51">
        <f>+('Model calculation'!H18/'Model calculation'!D18)^(1/4)-1</f>
        <v>7.1617759136015646E-2</v>
      </c>
    </row>
    <row r="46" spans="2:3" x14ac:dyDescent="0.4">
      <c r="B46" s="6" t="s">
        <v>24</v>
      </c>
      <c r="C46" s="57">
        <f>+'Sensitivity analysis'!C7</f>
        <v>0.01</v>
      </c>
    </row>
    <row r="47" spans="2:3" x14ac:dyDescent="0.4">
      <c r="B47" s="6" t="s">
        <v>25</v>
      </c>
      <c r="C47" s="50">
        <f>+SUM('Model calculation'!D30:H30)</f>
        <v>-547.71</v>
      </c>
    </row>
    <row r="49" spans="2:3" s="1" customFormat="1" x14ac:dyDescent="0.4">
      <c r="B49" s="2" t="s">
        <v>26</v>
      </c>
      <c r="C49" s="42"/>
    </row>
    <row r="51" spans="2:3" x14ac:dyDescent="0.4">
      <c r="B51" s="55" t="s">
        <v>186</v>
      </c>
      <c r="C51" s="56" t="s">
        <v>187</v>
      </c>
    </row>
    <row r="52" spans="2:3" ht="18" x14ac:dyDescent="0.4">
      <c r="B52" s="6" t="s">
        <v>210</v>
      </c>
      <c r="C52" s="54" t="s">
        <v>188</v>
      </c>
    </row>
    <row r="53" spans="2:3" ht="33.6" x14ac:dyDescent="0.4">
      <c r="B53" s="6" t="s">
        <v>211</v>
      </c>
      <c r="C53" s="54" t="s">
        <v>189</v>
      </c>
    </row>
    <row r="54" spans="2:3" ht="18" x14ac:dyDescent="0.4">
      <c r="B54" s="6" t="s">
        <v>212</v>
      </c>
      <c r="C54" s="54" t="s">
        <v>190</v>
      </c>
    </row>
    <row r="55" spans="2:3" ht="33.6" x14ac:dyDescent="0.4">
      <c r="B55" s="6" t="s">
        <v>213</v>
      </c>
      <c r="C55" s="54" t="s">
        <v>191</v>
      </c>
    </row>
    <row r="57" spans="2:3" x14ac:dyDescent="0.4">
      <c r="B57" s="87" t="s">
        <v>206</v>
      </c>
    </row>
    <row r="58" spans="2:3" x14ac:dyDescent="0.4">
      <c r="B58" s="86" t="s">
        <v>215</v>
      </c>
    </row>
    <row r="59" spans="2:3" x14ac:dyDescent="0.4">
      <c r="B59" s="86" t="s">
        <v>214</v>
      </c>
    </row>
  </sheetData>
  <phoneticPr fontId="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E7B77-BCF8-48E3-8906-B2DC2F0A2D31}">
  <sheetPr>
    <tabColor theme="9" tint="0.59999389629810485"/>
  </sheetPr>
  <dimension ref="B2:Y105"/>
  <sheetViews>
    <sheetView showGridLines="0" zoomScale="55" zoomScaleNormal="55" workbookViewId="0"/>
  </sheetViews>
  <sheetFormatPr defaultRowHeight="16.8" x14ac:dyDescent="0.4"/>
  <cols>
    <col min="1" max="1" width="3.296875" customWidth="1"/>
    <col min="2" max="2" width="35.69921875" customWidth="1"/>
    <col min="3" max="4" width="13.59765625" bestFit="1" customWidth="1"/>
    <col min="5" max="5" width="11.296875" bestFit="1" customWidth="1"/>
    <col min="6" max="7" width="12.3984375" bestFit="1" customWidth="1"/>
    <col min="8" max="8" width="13.59765625" bestFit="1" customWidth="1"/>
    <col min="9" max="9" width="14.796875" customWidth="1"/>
  </cols>
  <sheetData>
    <row r="2" spans="2:3" s="1" customFormat="1" x14ac:dyDescent="0.4">
      <c r="B2" s="2" t="s">
        <v>53</v>
      </c>
    </row>
    <row r="3" spans="2:3" x14ac:dyDescent="0.4">
      <c r="B3" s="89"/>
    </row>
    <row r="4" spans="2:3" x14ac:dyDescent="0.4">
      <c r="B4" s="9" t="s">
        <v>124</v>
      </c>
      <c r="C4" s="12" t="s">
        <v>217</v>
      </c>
    </row>
    <row r="5" spans="2:3" x14ac:dyDescent="0.4">
      <c r="B5" s="43" t="s">
        <v>54</v>
      </c>
      <c r="C5" s="88">
        <f>+I41/1000</f>
        <v>878.53866389875327</v>
      </c>
    </row>
    <row r="6" spans="2:3" x14ac:dyDescent="0.4">
      <c r="B6" s="43" t="s">
        <v>55</v>
      </c>
      <c r="C6" s="44">
        <f>+SUM(C7:C12)</f>
        <v>1184</v>
      </c>
    </row>
    <row r="7" spans="2:3" x14ac:dyDescent="0.4">
      <c r="B7" s="45" t="s">
        <v>56</v>
      </c>
      <c r="C7" s="46">
        <v>897</v>
      </c>
    </row>
    <row r="8" spans="2:3" x14ac:dyDescent="0.4">
      <c r="B8" s="45" t="s">
        <v>57</v>
      </c>
      <c r="C8" s="46">
        <v>125</v>
      </c>
    </row>
    <row r="9" spans="2:3" x14ac:dyDescent="0.4">
      <c r="B9" s="45" t="s">
        <v>58</v>
      </c>
      <c r="C9" s="46">
        <v>105</v>
      </c>
    </row>
    <row r="10" spans="2:3" x14ac:dyDescent="0.4">
      <c r="B10" s="45" t="s">
        <v>59</v>
      </c>
      <c r="C10" s="46">
        <v>123</v>
      </c>
    </row>
    <row r="11" spans="2:3" x14ac:dyDescent="0.4">
      <c r="B11" s="45" t="s">
        <v>60</v>
      </c>
      <c r="C11" s="46">
        <v>-50</v>
      </c>
    </row>
    <row r="12" spans="2:3" x14ac:dyDescent="0.4">
      <c r="B12" s="47" t="s">
        <v>181</v>
      </c>
      <c r="C12" s="48">
        <v>-16</v>
      </c>
    </row>
    <row r="13" spans="2:3" ht="17.399999999999999" thickBot="1" x14ac:dyDescent="0.45">
      <c r="B13" s="49" t="s">
        <v>61</v>
      </c>
      <c r="C13" s="83">
        <f>+C5-C6</f>
        <v>-305.46133610124673</v>
      </c>
    </row>
    <row r="15" spans="2:3" s="1" customFormat="1" ht="18" x14ac:dyDescent="0.4">
      <c r="B15" s="2" t="s">
        <v>208</v>
      </c>
    </row>
    <row r="17" spans="2:9" x14ac:dyDescent="0.4">
      <c r="B17" s="9" t="s">
        <v>62</v>
      </c>
      <c r="C17" s="12">
        <v>2024</v>
      </c>
      <c r="D17" s="12">
        <v>2025</v>
      </c>
      <c r="E17" s="12">
        <v>2026</v>
      </c>
      <c r="F17" s="12">
        <v>2027</v>
      </c>
      <c r="G17" s="12">
        <v>2028</v>
      </c>
      <c r="H17" s="12">
        <v>2029</v>
      </c>
      <c r="I17" s="12" t="s">
        <v>82</v>
      </c>
    </row>
    <row r="18" spans="2:9" x14ac:dyDescent="0.4">
      <c r="B18" s="6" t="s">
        <v>63</v>
      </c>
      <c r="C18" s="50">
        <f>+C44+C55</f>
        <v>418296</v>
      </c>
      <c r="D18" s="50">
        <f t="shared" ref="D18:H18" si="0">+D44+D55</f>
        <v>450657</v>
      </c>
      <c r="E18" s="50">
        <f t="shared" si="0"/>
        <v>488666</v>
      </c>
      <c r="F18" s="50">
        <f t="shared" si="0"/>
        <v>528012</v>
      </c>
      <c r="G18" s="50">
        <f t="shared" si="0"/>
        <v>557530</v>
      </c>
      <c r="H18" s="50">
        <f t="shared" si="0"/>
        <v>594300</v>
      </c>
      <c r="I18" s="13"/>
    </row>
    <row r="19" spans="2:9" x14ac:dyDescent="0.4">
      <c r="B19" s="6" t="s">
        <v>64</v>
      </c>
      <c r="C19" s="13"/>
      <c r="D19" s="13"/>
      <c r="E19" s="13"/>
      <c r="F19" s="13"/>
      <c r="G19" s="13"/>
      <c r="H19" s="13"/>
      <c r="I19" s="13"/>
    </row>
    <row r="20" spans="2:9" x14ac:dyDescent="0.4">
      <c r="B20" s="6" t="s">
        <v>65</v>
      </c>
      <c r="C20" s="50">
        <f>+C48+C59</f>
        <v>-249146.8628</v>
      </c>
      <c r="D20" s="50">
        <f t="shared" ref="D20:H20" si="1">+D48+D59</f>
        <v>-266241.44906999997</v>
      </c>
      <c r="E20" s="50">
        <f>+E48+E59</f>
        <v>-288992.60615999997</v>
      </c>
      <c r="F20" s="50">
        <f t="shared" si="1"/>
        <v>-310244.34239999996</v>
      </c>
      <c r="G20" s="50">
        <f t="shared" si="1"/>
        <v>-326594.82799999998</v>
      </c>
      <c r="H20" s="50">
        <f t="shared" si="1"/>
        <v>-345416.41120000003</v>
      </c>
      <c r="I20" s="50"/>
    </row>
    <row r="21" spans="2:9" x14ac:dyDescent="0.4">
      <c r="B21" s="6" t="s">
        <v>66</v>
      </c>
      <c r="C21" s="50">
        <f>+C18+C20</f>
        <v>169149.1372</v>
      </c>
      <c r="D21" s="50">
        <f t="shared" ref="D21:H21" si="2">+D18+D20</f>
        <v>184415.55093000003</v>
      </c>
      <c r="E21" s="50">
        <f t="shared" si="2"/>
        <v>199673.39384000003</v>
      </c>
      <c r="F21" s="50">
        <f t="shared" si="2"/>
        <v>217767.65760000004</v>
      </c>
      <c r="G21" s="50">
        <f t="shared" si="2"/>
        <v>230935.17200000002</v>
      </c>
      <c r="H21" s="50">
        <f t="shared" si="2"/>
        <v>248883.58879999997</v>
      </c>
      <c r="I21" s="50"/>
    </row>
    <row r="22" spans="2:9" x14ac:dyDescent="0.4">
      <c r="B22" s="6" t="s">
        <v>67</v>
      </c>
      <c r="C22" s="50">
        <f>+C50+C61</f>
        <v>-42986.033951999998</v>
      </c>
      <c r="D22" s="50">
        <f t="shared" ref="D22:H22" si="3">+D50+D61</f>
        <v>-47169.349278000002</v>
      </c>
      <c r="E22" s="50">
        <f t="shared" si="3"/>
        <v>-51393.513679999996</v>
      </c>
      <c r="F22" s="50">
        <f t="shared" si="3"/>
        <v>-55933.572059999999</v>
      </c>
      <c r="G22" s="50">
        <f t="shared" si="3"/>
        <v>-59936.992199999993</v>
      </c>
      <c r="H22" s="50">
        <f t="shared" si="3"/>
        <v>-64297.251199999999</v>
      </c>
      <c r="I22" s="50"/>
    </row>
    <row r="23" spans="2:9" x14ac:dyDescent="0.4">
      <c r="B23" s="6" t="s">
        <v>68</v>
      </c>
      <c r="C23" s="50">
        <f>+C51+C62</f>
        <v>-68393.590880000003</v>
      </c>
      <c r="D23" s="50">
        <f t="shared" ref="D23:H23" si="4">+D51+D62</f>
        <v>-74581.913039999999</v>
      </c>
      <c r="E23" s="50">
        <f t="shared" si="4"/>
        <v>-81742.918540000013</v>
      </c>
      <c r="F23" s="50">
        <f t="shared" si="4"/>
        <v>-89251.447499999995</v>
      </c>
      <c r="G23" s="50">
        <f t="shared" si="4"/>
        <v>-95313.290999999997</v>
      </c>
      <c r="H23" s="50">
        <f t="shared" si="4"/>
        <v>-102761.21618</v>
      </c>
      <c r="I23" s="50"/>
    </row>
    <row r="24" spans="2:9" x14ac:dyDescent="0.4">
      <c r="B24" s="6" t="s">
        <v>69</v>
      </c>
      <c r="C24" s="50">
        <f>+SUM(C21:C23)</f>
        <v>57769.512367999996</v>
      </c>
      <c r="D24" s="50">
        <f t="shared" ref="D24:H24" si="5">+SUM(D21:D23)</f>
        <v>62664.288612000018</v>
      </c>
      <c r="E24" s="50">
        <f t="shared" si="5"/>
        <v>66536.961620000016</v>
      </c>
      <c r="F24" s="50">
        <f t="shared" si="5"/>
        <v>72582.638040000034</v>
      </c>
      <c r="G24" s="50">
        <f t="shared" si="5"/>
        <v>75684.888800000044</v>
      </c>
      <c r="H24" s="50">
        <f t="shared" si="5"/>
        <v>81825.121419999967</v>
      </c>
      <c r="I24" s="50"/>
    </row>
    <row r="25" spans="2:9" x14ac:dyDescent="0.4">
      <c r="B25" s="6" t="s">
        <v>70</v>
      </c>
      <c r="C25" s="79">
        <f>+'Corporate cost allocations'!C7</f>
        <v>-8452</v>
      </c>
      <c r="D25" s="79">
        <f>+'Corporate cost allocations'!D7</f>
        <v>-8536</v>
      </c>
      <c r="E25" s="79">
        <f>+'Corporate cost allocations'!E7</f>
        <v>-8622</v>
      </c>
      <c r="F25" s="79">
        <f>+'Corporate cost allocations'!F7</f>
        <v>-8708</v>
      </c>
      <c r="G25" s="79">
        <f>+'Corporate cost allocations'!G7</f>
        <v>-8796</v>
      </c>
      <c r="H25" s="79">
        <f>+'Corporate cost allocations'!H7</f>
        <v>-8883</v>
      </c>
      <c r="I25" s="50"/>
    </row>
    <row r="26" spans="2:9" x14ac:dyDescent="0.4">
      <c r="B26" s="6" t="s">
        <v>193</v>
      </c>
      <c r="C26" s="79">
        <f>+C24+C25</f>
        <v>49317.512367999996</v>
      </c>
      <c r="D26" s="79">
        <f t="shared" ref="D26:H26" si="6">+D24+D25</f>
        <v>54128.288612000018</v>
      </c>
      <c r="E26" s="79">
        <f t="shared" si="6"/>
        <v>57914.961620000016</v>
      </c>
      <c r="F26" s="79">
        <f t="shared" si="6"/>
        <v>63874.638040000034</v>
      </c>
      <c r="G26" s="79">
        <f t="shared" si="6"/>
        <v>66888.888800000044</v>
      </c>
      <c r="H26" s="79">
        <f t="shared" si="6"/>
        <v>72942.121419999967</v>
      </c>
      <c r="I26" s="50"/>
    </row>
    <row r="27" spans="2:9" x14ac:dyDescent="0.4">
      <c r="B27" s="6" t="s">
        <v>71</v>
      </c>
      <c r="C27" s="79">
        <f>+Tax!C7</f>
        <v>-7216.4873499199994</v>
      </c>
      <c r="D27" s="79">
        <f>+Tax!D7</f>
        <v>-8114.0048362800035</v>
      </c>
      <c r="E27" s="79">
        <f>+Tax!E7</f>
        <v>-8928.6627078000038</v>
      </c>
      <c r="F27" s="79">
        <f>+Tax!F7</f>
        <v>-9993.7412276000068</v>
      </c>
      <c r="G27" s="79">
        <f>+Tax!G7</f>
        <v>-10555.048872000008</v>
      </c>
      <c r="H27" s="79">
        <f>+Tax!H7</f>
        <v>-11709.913069799994</v>
      </c>
      <c r="I27" s="50"/>
    </row>
    <row r="28" spans="2:9" x14ac:dyDescent="0.4">
      <c r="B28" s="6" t="s">
        <v>72</v>
      </c>
      <c r="C28" s="50">
        <f>+C26+C27</f>
        <v>42101.025018079999</v>
      </c>
      <c r="D28" s="50">
        <f t="shared" ref="D28:H28" si="7">+D26+D27</f>
        <v>46014.283775720018</v>
      </c>
      <c r="E28" s="50">
        <f t="shared" si="7"/>
        <v>48986.298912200014</v>
      </c>
      <c r="F28" s="50">
        <f t="shared" si="7"/>
        <v>53880.896812400024</v>
      </c>
      <c r="G28" s="50">
        <f t="shared" si="7"/>
        <v>56333.839928000038</v>
      </c>
      <c r="H28" s="50">
        <f t="shared" si="7"/>
        <v>61232.208350199973</v>
      </c>
      <c r="I28" s="50"/>
    </row>
    <row r="29" spans="2:9" x14ac:dyDescent="0.4">
      <c r="B29" s="28" t="s">
        <v>73</v>
      </c>
      <c r="C29" s="79">
        <f>+'CAPEX, D&amp;A'!C22</f>
        <v>104.91</v>
      </c>
      <c r="D29" s="79">
        <f>+'CAPEX, D&amp;A'!D22</f>
        <v>105.97000000000001</v>
      </c>
      <c r="E29" s="79">
        <f>+'CAPEX, D&amp;A'!E22</f>
        <v>107.02</v>
      </c>
      <c r="F29" s="79">
        <f>+'CAPEX, D&amp;A'!F22</f>
        <v>108.09</v>
      </c>
      <c r="G29" s="79">
        <f>+'CAPEX, D&amp;A'!G22</f>
        <v>109.17999999999999</v>
      </c>
      <c r="H29" s="79">
        <f>+'CAPEX, D&amp;A'!H22</f>
        <v>110.27</v>
      </c>
      <c r="I29" s="50"/>
    </row>
    <row r="30" spans="2:9" x14ac:dyDescent="0.4">
      <c r="B30" s="28" t="s">
        <v>74</v>
      </c>
      <c r="C30" s="79">
        <f>-'CAPEX, D&amp;A'!C9</f>
        <v>-105.91</v>
      </c>
      <c r="D30" s="79">
        <f>-'CAPEX, D&amp;A'!D9</f>
        <v>-107.53</v>
      </c>
      <c r="E30" s="79">
        <f>-'CAPEX, D&amp;A'!E9</f>
        <v>-109.33000000000001</v>
      </c>
      <c r="F30" s="79">
        <f>-'CAPEX, D&amp;A'!F9</f>
        <v>-110.89000000000001</v>
      </c>
      <c r="G30" s="79">
        <f>-'CAPEX, D&amp;A'!G9</f>
        <v>-109.7</v>
      </c>
      <c r="H30" s="79">
        <f>-'CAPEX, D&amp;A'!H9</f>
        <v>-110.26</v>
      </c>
      <c r="I30" s="50"/>
    </row>
    <row r="31" spans="2:9" x14ac:dyDescent="0.4">
      <c r="B31" s="28" t="s">
        <v>75</v>
      </c>
      <c r="C31" s="79"/>
      <c r="D31" s="79">
        <f>+'Net working capital'!D9</f>
        <v>-9.7599999999999909</v>
      </c>
      <c r="E31" s="79">
        <f>+'Net working capital'!E9</f>
        <v>-11.129999999999995</v>
      </c>
      <c r="F31" s="79">
        <f>+'Net working capital'!F9</f>
        <v>-11.560000000000002</v>
      </c>
      <c r="G31" s="79">
        <f>+'Net working capital'!G9</f>
        <v>-8.7300000000000182</v>
      </c>
      <c r="H31" s="79">
        <f>+'Net working capital'!H9</f>
        <v>-10.269999999999982</v>
      </c>
      <c r="I31" s="50"/>
    </row>
    <row r="32" spans="2:9" x14ac:dyDescent="0.4">
      <c r="B32" s="28" t="s">
        <v>76</v>
      </c>
      <c r="C32" s="79">
        <f>+SUM(C28:C31)</f>
        <v>42100.025018079999</v>
      </c>
      <c r="D32" s="79">
        <f t="shared" ref="D32:H32" si="8">+SUM(D28:D31)</f>
        <v>46002.963775720018</v>
      </c>
      <c r="E32" s="79">
        <f t="shared" si="8"/>
        <v>48972.858912200012</v>
      </c>
      <c r="F32" s="79">
        <f t="shared" si="8"/>
        <v>53866.536812400023</v>
      </c>
      <c r="G32" s="79">
        <f t="shared" si="8"/>
        <v>56324.589928000038</v>
      </c>
      <c r="H32" s="79">
        <f t="shared" si="8"/>
        <v>61221.948350199971</v>
      </c>
      <c r="I32" s="79">
        <f>+H32*(1+'Sensitivity analysis'!C7)/('Sensitivity analysis'!C6-'Sensitivity analysis'!C7)</f>
        <v>989346.68533923128</v>
      </c>
    </row>
    <row r="33" spans="2:9" x14ac:dyDescent="0.4">
      <c r="B33" s="6"/>
      <c r="C33" s="50"/>
      <c r="D33" s="50"/>
      <c r="E33" s="50"/>
      <c r="F33" s="50"/>
      <c r="G33" s="50"/>
      <c r="H33" s="50"/>
      <c r="I33" s="79"/>
    </row>
    <row r="34" spans="2:9" x14ac:dyDescent="0.4">
      <c r="B34" s="6" t="s">
        <v>77</v>
      </c>
      <c r="C34" s="50"/>
      <c r="D34" s="53">
        <v>0.5</v>
      </c>
      <c r="E34" s="53">
        <f>+D34+1</f>
        <v>1.5</v>
      </c>
      <c r="F34" s="53">
        <f t="shared" ref="F34:H34" si="9">+E34+1</f>
        <v>2.5</v>
      </c>
      <c r="G34" s="53">
        <f t="shared" si="9"/>
        <v>3.5</v>
      </c>
      <c r="H34" s="53">
        <f t="shared" si="9"/>
        <v>4.5</v>
      </c>
      <c r="I34" s="82">
        <f>+H34</f>
        <v>4.5</v>
      </c>
    </row>
    <row r="35" spans="2:9" x14ac:dyDescent="0.4">
      <c r="B35" s="6" t="s">
        <v>78</v>
      </c>
      <c r="C35" s="50"/>
      <c r="D35" s="81">
        <f>1/(1+'Sensitivity analysis'!$C$6)^D34</f>
        <v>0.96560909917053517</v>
      </c>
      <c r="E35" s="81">
        <f>1/(1+'Sensitivity analysis'!$C$6)^E34</f>
        <v>0.90033482440143142</v>
      </c>
      <c r="F35" s="81">
        <f>1/(1+'Sensitivity analysis'!$C$6)^F34</f>
        <v>0.83947302974492433</v>
      </c>
      <c r="G35" s="81">
        <f>1/(1+'Sensitivity analysis'!$C$6)^G34</f>
        <v>0.78272543565960317</v>
      </c>
      <c r="H35" s="81">
        <f>1/(1+'Sensitivity analysis'!$C$6)^H34</f>
        <v>0.72981392602293993</v>
      </c>
      <c r="I35" s="81">
        <f>1/(1+'Sensitivity analysis'!$C$6)^I34</f>
        <v>0.72981392602293993</v>
      </c>
    </row>
    <row r="36" spans="2:9" x14ac:dyDescent="0.4">
      <c r="B36" s="6" t="s">
        <v>79</v>
      </c>
      <c r="C36" s="50"/>
      <c r="D36" s="50">
        <f>+D32*D35</f>
        <v>44420.880410647769</v>
      </c>
      <c r="E36" s="50">
        <f t="shared" ref="E36:I36" si="10">+E32*E35</f>
        <v>44091.970329151671</v>
      </c>
      <c r="F36" s="50">
        <f t="shared" si="10"/>
        <v>45219.504859771943</v>
      </c>
      <c r="G36" s="50">
        <f t="shared" si="10"/>
        <v>44086.689189742327</v>
      </c>
      <c r="H36" s="50">
        <f t="shared" si="10"/>
        <v>44680.630484233094</v>
      </c>
      <c r="I36" s="79">
        <f t="shared" si="10"/>
        <v>722038.98862520652</v>
      </c>
    </row>
    <row r="37" spans="2:9" x14ac:dyDescent="0.4">
      <c r="B37" s="6"/>
      <c r="C37" s="50"/>
      <c r="D37" s="50"/>
      <c r="E37" s="50"/>
      <c r="F37" s="50"/>
      <c r="G37" s="50"/>
      <c r="H37" s="50"/>
      <c r="I37" s="79"/>
    </row>
    <row r="38" spans="2:9" x14ac:dyDescent="0.4">
      <c r="B38" s="6" t="s">
        <v>80</v>
      </c>
      <c r="C38" s="50"/>
      <c r="D38" s="50"/>
      <c r="E38" s="50"/>
      <c r="F38" s="50"/>
      <c r="G38" s="50"/>
      <c r="H38" s="50"/>
      <c r="I38" s="50">
        <v>-50000</v>
      </c>
    </row>
    <row r="39" spans="2:9" x14ac:dyDescent="0.4">
      <c r="B39" s="6" t="s">
        <v>216</v>
      </c>
      <c r="C39" s="50"/>
      <c r="D39" s="50"/>
      <c r="E39" s="50"/>
      <c r="F39" s="50"/>
      <c r="G39" s="50"/>
      <c r="H39" s="50"/>
      <c r="I39" s="50">
        <v>-16000</v>
      </c>
    </row>
    <row r="40" spans="2:9" x14ac:dyDescent="0.4">
      <c r="B40" s="6"/>
      <c r="C40" s="50"/>
      <c r="D40" s="50"/>
      <c r="E40" s="50"/>
      <c r="F40" s="50"/>
      <c r="G40" s="50"/>
      <c r="H40" s="50"/>
      <c r="I40" s="50"/>
    </row>
    <row r="41" spans="2:9" x14ac:dyDescent="0.4">
      <c r="B41" s="11" t="s">
        <v>81</v>
      </c>
      <c r="C41" s="85"/>
      <c r="D41" s="85"/>
      <c r="E41" s="85"/>
      <c r="F41" s="85"/>
      <c r="G41" s="85"/>
      <c r="H41" s="85"/>
      <c r="I41" s="85">
        <f>+SUM(D36:I36)+I38+I39</f>
        <v>878538.66389875324</v>
      </c>
    </row>
    <row r="42" spans="2:9" x14ac:dyDescent="0.4">
      <c r="C42" s="41"/>
      <c r="D42" s="41"/>
      <c r="E42" s="41"/>
      <c r="F42" s="41"/>
      <c r="G42" s="41"/>
      <c r="H42" s="41"/>
      <c r="I42" s="41"/>
    </row>
    <row r="43" spans="2:9" x14ac:dyDescent="0.4">
      <c r="B43" s="9" t="s">
        <v>85</v>
      </c>
      <c r="C43" s="12">
        <v>2024</v>
      </c>
      <c r="D43" s="12">
        <v>2025</v>
      </c>
      <c r="E43" s="12">
        <v>2026</v>
      </c>
      <c r="F43" s="12">
        <v>2027</v>
      </c>
      <c r="G43" s="12">
        <v>2028</v>
      </c>
      <c r="H43" s="12">
        <v>2029</v>
      </c>
      <c r="I43" s="41"/>
    </row>
    <row r="44" spans="2:9" x14ac:dyDescent="0.4">
      <c r="B44" s="6" t="s">
        <v>63</v>
      </c>
      <c r="C44" s="50">
        <f>+C45*C46</f>
        <v>377080</v>
      </c>
      <c r="D44" s="50">
        <f t="shared" ref="D44" si="11">+D45*D46</f>
        <v>406083</v>
      </c>
      <c r="E44" s="50">
        <f t="shared" ref="E44" si="12">+E45*E46</f>
        <v>436016</v>
      </c>
      <c r="F44" s="50">
        <f t="shared" ref="F44" si="13">+F45*F46</f>
        <v>465894</v>
      </c>
      <c r="G44" s="50">
        <f t="shared" ref="G44" si="14">+G45*G46</f>
        <v>490210</v>
      </c>
      <c r="H44" s="50">
        <f t="shared" ref="H44" si="15">+H45*H46</f>
        <v>521458</v>
      </c>
      <c r="I44" s="41"/>
    </row>
    <row r="45" spans="2:9" x14ac:dyDescent="0.4">
      <c r="B45" s="6" t="s">
        <v>83</v>
      </c>
      <c r="C45" s="50">
        <v>220</v>
      </c>
      <c r="D45" s="50">
        <v>223</v>
      </c>
      <c r="E45" s="50">
        <v>229</v>
      </c>
      <c r="F45" s="50">
        <v>234</v>
      </c>
      <c r="G45" s="50">
        <v>235</v>
      </c>
      <c r="H45" s="50">
        <v>238</v>
      </c>
      <c r="I45" s="41"/>
    </row>
    <row r="46" spans="2:9" x14ac:dyDescent="0.4">
      <c r="B46" s="6" t="s">
        <v>84</v>
      </c>
      <c r="C46" s="50">
        <v>1714</v>
      </c>
      <c r="D46" s="50">
        <v>1821</v>
      </c>
      <c r="E46" s="50">
        <v>1904</v>
      </c>
      <c r="F46" s="50">
        <v>1991</v>
      </c>
      <c r="G46" s="50">
        <v>2086</v>
      </c>
      <c r="H46" s="50">
        <v>2191</v>
      </c>
      <c r="I46" s="41"/>
    </row>
    <row r="47" spans="2:9" x14ac:dyDescent="0.4">
      <c r="B47" s="6" t="s">
        <v>64</v>
      </c>
      <c r="C47" s="13"/>
      <c r="D47" s="51">
        <f>+(D46-C46)/C46</f>
        <v>6.2427071178529754E-2</v>
      </c>
      <c r="E47" s="51">
        <f t="shared" ref="E47:H47" si="16">+(E46-D46)/D46</f>
        <v>4.5579352004393191E-2</v>
      </c>
      <c r="F47" s="51">
        <f t="shared" si="16"/>
        <v>4.5693277310924367E-2</v>
      </c>
      <c r="G47" s="51">
        <f t="shared" si="16"/>
        <v>4.7714716223003516E-2</v>
      </c>
      <c r="H47" s="51">
        <f t="shared" si="16"/>
        <v>5.0335570469798654E-2</v>
      </c>
      <c r="I47" s="41"/>
    </row>
    <row r="48" spans="2:9" x14ac:dyDescent="0.4">
      <c r="B48" s="6" t="s">
        <v>65</v>
      </c>
      <c r="C48" s="50">
        <f>-60.055%*C44</f>
        <v>-226455.394</v>
      </c>
      <c r="D48" s="50">
        <f>-59.415%*D44</f>
        <v>-241274.21444999997</v>
      </c>
      <c r="E48" s="50">
        <f>-59.451%*E44</f>
        <v>-259215.87216</v>
      </c>
      <c r="F48" s="50">
        <f>-58.99%*F44</f>
        <v>-274830.87059999997</v>
      </c>
      <c r="G48" s="50">
        <f>-58.76%*G44</f>
        <v>-288047.39600000001</v>
      </c>
      <c r="H48" s="50">
        <f>-58.2%*H44</f>
        <v>-303488.55600000004</v>
      </c>
      <c r="I48" s="41"/>
    </row>
    <row r="49" spans="2:9" x14ac:dyDescent="0.4">
      <c r="B49" s="6" t="s">
        <v>66</v>
      </c>
      <c r="C49" s="50">
        <f>+C44+C48</f>
        <v>150624.606</v>
      </c>
      <c r="D49" s="50">
        <f t="shared" ref="D49:H49" si="17">+D44+D48</f>
        <v>164808.78555000003</v>
      </c>
      <c r="E49" s="50">
        <f t="shared" si="17"/>
        <v>176800.12784</v>
      </c>
      <c r="F49" s="50">
        <f t="shared" si="17"/>
        <v>191063.12940000003</v>
      </c>
      <c r="G49" s="50">
        <f t="shared" si="17"/>
        <v>202162.60399999999</v>
      </c>
      <c r="H49" s="50">
        <f t="shared" si="17"/>
        <v>217969.44399999996</v>
      </c>
      <c r="I49" s="41"/>
    </row>
    <row r="50" spans="2:9" x14ac:dyDescent="0.4">
      <c r="B50" s="6" t="s">
        <v>67</v>
      </c>
      <c r="C50" s="50">
        <f>-10.454%*C44</f>
        <v>-39419.943200000002</v>
      </c>
      <c r="D50" s="50">
        <f>-10.655%*D44</f>
        <v>-43268.143649999998</v>
      </c>
      <c r="E50" s="50">
        <f>-10.723%*E44</f>
        <v>-46753.99568</v>
      </c>
      <c r="F50" s="50">
        <f>-10.799%*F44</f>
        <v>-50311.893059999995</v>
      </c>
      <c r="G50" s="50">
        <f>-10.962%*G44</f>
        <v>-53736.820199999995</v>
      </c>
      <c r="H50" s="50">
        <f>-11.02%*H44</f>
        <v>-57464.671599999994</v>
      </c>
      <c r="I50" s="41"/>
    </row>
    <row r="51" spans="2:9" x14ac:dyDescent="0.4">
      <c r="B51" s="6" t="s">
        <v>68</v>
      </c>
      <c r="C51" s="50">
        <f>-16.594%*C44</f>
        <v>-62572.655200000001</v>
      </c>
      <c r="D51" s="50">
        <f>-16.794%*D44</f>
        <v>-68197.579020000005</v>
      </c>
      <c r="E51" s="50">
        <f>-16.994%*E44</f>
        <v>-74096.559040000007</v>
      </c>
      <c r="F51" s="50">
        <f>-17.194%*F44</f>
        <v>-80105.814359999989</v>
      </c>
      <c r="G51" s="50">
        <f>-17.394%*G44</f>
        <v>-85267.127399999998</v>
      </c>
      <c r="H51" s="50">
        <f>-17.594%*H44</f>
        <v>-91745.320520000008</v>
      </c>
      <c r="I51" s="41"/>
    </row>
    <row r="52" spans="2:9" x14ac:dyDescent="0.4">
      <c r="B52" s="6" t="s">
        <v>69</v>
      </c>
      <c r="C52" s="50">
        <f>+SUM(C49:C51)</f>
        <v>48632.00759999999</v>
      </c>
      <c r="D52" s="50">
        <f t="shared" ref="D52:H52" si="18">+SUM(D49:D51)</f>
        <v>53343.062880000027</v>
      </c>
      <c r="E52" s="50">
        <f t="shared" si="18"/>
        <v>55949.573120000001</v>
      </c>
      <c r="F52" s="50">
        <f t="shared" si="18"/>
        <v>60645.421980000043</v>
      </c>
      <c r="G52" s="50">
        <f t="shared" si="18"/>
        <v>63158.656400000007</v>
      </c>
      <c r="H52" s="50">
        <f t="shared" si="18"/>
        <v>68759.45187999995</v>
      </c>
      <c r="I52" s="41"/>
    </row>
    <row r="53" spans="2:9" x14ac:dyDescent="0.4">
      <c r="C53" s="52"/>
      <c r="D53" s="52"/>
      <c r="E53" s="52"/>
      <c r="F53" s="52"/>
      <c r="G53" s="52"/>
      <c r="H53" s="52"/>
      <c r="I53" s="41"/>
    </row>
    <row r="54" spans="2:9" x14ac:dyDescent="0.4">
      <c r="B54" s="9" t="s">
        <v>86</v>
      </c>
      <c r="C54" s="12">
        <v>2024</v>
      </c>
      <c r="D54" s="12">
        <v>2025</v>
      </c>
      <c r="E54" s="12">
        <v>2026</v>
      </c>
      <c r="F54" s="12">
        <v>2027</v>
      </c>
      <c r="G54" s="12">
        <v>2028</v>
      </c>
      <c r="H54" s="12">
        <v>2029</v>
      </c>
      <c r="I54" s="41"/>
    </row>
    <row r="55" spans="2:9" x14ac:dyDescent="0.4">
      <c r="B55" s="6" t="s">
        <v>63</v>
      </c>
      <c r="C55" s="50">
        <f>+C56*C57</f>
        <v>41216</v>
      </c>
      <c r="D55" s="50">
        <f t="shared" ref="D55:H55" si="19">+D56*D57</f>
        <v>44574</v>
      </c>
      <c r="E55" s="50">
        <f t="shared" si="19"/>
        <v>52650</v>
      </c>
      <c r="F55" s="50">
        <f t="shared" si="19"/>
        <v>62118</v>
      </c>
      <c r="G55" s="50">
        <f t="shared" si="19"/>
        <v>67320</v>
      </c>
      <c r="H55" s="50">
        <f t="shared" si="19"/>
        <v>72842</v>
      </c>
      <c r="I55" s="41"/>
    </row>
    <row r="56" spans="2:9" x14ac:dyDescent="0.4">
      <c r="B56" s="6" t="s">
        <v>83</v>
      </c>
      <c r="C56" s="50">
        <v>112</v>
      </c>
      <c r="D56" s="50">
        <v>114</v>
      </c>
      <c r="E56" s="50">
        <v>117</v>
      </c>
      <c r="F56" s="50">
        <v>119</v>
      </c>
      <c r="G56" s="50">
        <v>120</v>
      </c>
      <c r="H56" s="50">
        <v>121</v>
      </c>
      <c r="I56" s="41"/>
    </row>
    <row r="57" spans="2:9" x14ac:dyDescent="0.4">
      <c r="B57" s="6" t="s">
        <v>84</v>
      </c>
      <c r="C57" s="50">
        <v>368</v>
      </c>
      <c r="D57" s="50">
        <v>391</v>
      </c>
      <c r="E57" s="50">
        <v>450</v>
      </c>
      <c r="F57" s="50">
        <v>522</v>
      </c>
      <c r="G57" s="50">
        <v>561</v>
      </c>
      <c r="H57" s="50">
        <v>602</v>
      </c>
      <c r="I57" s="41"/>
    </row>
    <row r="58" spans="2:9" x14ac:dyDescent="0.4">
      <c r="B58" s="6" t="s">
        <v>64</v>
      </c>
      <c r="C58" s="13"/>
      <c r="D58" s="51">
        <f>+(D57-C57)/C57</f>
        <v>6.25E-2</v>
      </c>
      <c r="E58" s="51">
        <f t="shared" ref="E58" si="20">+(E57-D57)/D57</f>
        <v>0.15089514066496162</v>
      </c>
      <c r="F58" s="51">
        <f t="shared" ref="F58" si="21">+(F57-E57)/E57</f>
        <v>0.16</v>
      </c>
      <c r="G58" s="51">
        <f t="shared" ref="G58" si="22">+(G57-F57)/F57</f>
        <v>7.4712643678160925E-2</v>
      </c>
      <c r="H58" s="51">
        <f t="shared" ref="H58" si="23">+(H57-G57)/G57</f>
        <v>7.3083778966131913E-2</v>
      </c>
      <c r="I58" s="41"/>
    </row>
    <row r="59" spans="2:9" x14ac:dyDescent="0.4">
      <c r="B59" s="6" t="s">
        <v>65</v>
      </c>
      <c r="C59" s="50">
        <f>-55.055%*C55</f>
        <v>-22691.468799999999</v>
      </c>
      <c r="D59" s="50">
        <f>-56.013%*D55</f>
        <v>-24967.234619999999</v>
      </c>
      <c r="E59" s="50">
        <f>-56.556%*E55</f>
        <v>-29776.733999999997</v>
      </c>
      <c r="F59" s="50">
        <f>-57.01%*F55</f>
        <v>-35413.471799999999</v>
      </c>
      <c r="G59" s="50">
        <f>-57.26%*G55</f>
        <v>-38547.432000000001</v>
      </c>
      <c r="H59" s="50">
        <f>-57.56%*H55</f>
        <v>-41927.855199999998</v>
      </c>
      <c r="I59" s="41"/>
    </row>
    <row r="60" spans="2:9" x14ac:dyDescent="0.4">
      <c r="B60" s="6" t="s">
        <v>66</v>
      </c>
      <c r="C60" s="50">
        <f>+C55+C59</f>
        <v>18524.531200000001</v>
      </c>
      <c r="D60" s="50">
        <f t="shared" ref="D60" si="24">+D55+D59</f>
        <v>19606.765380000001</v>
      </c>
      <c r="E60" s="50">
        <f t="shared" ref="E60" si="25">+E55+E59</f>
        <v>22873.266000000003</v>
      </c>
      <c r="F60" s="50">
        <f t="shared" ref="F60" si="26">+F55+F59</f>
        <v>26704.528200000001</v>
      </c>
      <c r="G60" s="50">
        <f t="shared" ref="G60" si="27">+G55+G59</f>
        <v>28772.567999999999</v>
      </c>
      <c r="H60" s="50">
        <f t="shared" ref="H60" si="28">+H55+H59</f>
        <v>30914.144800000002</v>
      </c>
      <c r="I60" s="41"/>
    </row>
    <row r="61" spans="2:9" x14ac:dyDescent="0.4">
      <c r="B61" s="6" t="s">
        <v>67</v>
      </c>
      <c r="C61" s="50">
        <f>-8.6522%*C55</f>
        <v>-3566.0907520000001</v>
      </c>
      <c r="D61" s="50">
        <f>-8.7522%*D55</f>
        <v>-3901.2056280000002</v>
      </c>
      <c r="E61" s="50">
        <f>-8.812%*E55</f>
        <v>-4639.5179999999991</v>
      </c>
      <c r="F61" s="50">
        <f>-9.05%*F55</f>
        <v>-5621.679000000001</v>
      </c>
      <c r="G61" s="50">
        <f>-9.21%*G55</f>
        <v>-6200.1720000000014</v>
      </c>
      <c r="H61" s="50">
        <f>-9.38%*H55</f>
        <v>-6832.5796000000009</v>
      </c>
      <c r="I61" s="41"/>
    </row>
    <row r="62" spans="2:9" x14ac:dyDescent="0.4">
      <c r="B62" s="6" t="s">
        <v>68</v>
      </c>
      <c r="C62" s="50">
        <f>-14.123%*C55</f>
        <v>-5820.9356799999996</v>
      </c>
      <c r="D62" s="50">
        <f>-14.323%*D55</f>
        <v>-6384.3340200000002</v>
      </c>
      <c r="E62" s="50">
        <f>-14.523%*E55</f>
        <v>-7646.3594999999996</v>
      </c>
      <c r="F62" s="50">
        <f>-14.723%*F55</f>
        <v>-9145.6331399999999</v>
      </c>
      <c r="G62" s="50">
        <f>-14.923%*G55</f>
        <v>-10046.1636</v>
      </c>
      <c r="H62" s="50">
        <f>-15.123%*H55</f>
        <v>-11015.89566</v>
      </c>
      <c r="I62" s="41"/>
    </row>
    <row r="63" spans="2:9" x14ac:dyDescent="0.4">
      <c r="B63" s="6" t="s">
        <v>69</v>
      </c>
      <c r="C63" s="50">
        <f>+SUM(C60:C62)</f>
        <v>9137.5047680000025</v>
      </c>
      <c r="D63" s="50">
        <f t="shared" ref="D63" si="29">+SUM(D60:D62)</f>
        <v>9321.2257320000008</v>
      </c>
      <c r="E63" s="50">
        <f t="shared" ref="E63" si="30">+SUM(E60:E62)</f>
        <v>10587.388500000005</v>
      </c>
      <c r="F63" s="50">
        <f t="shared" ref="F63" si="31">+SUM(F60:F62)</f>
        <v>11937.216060000001</v>
      </c>
      <c r="G63" s="50">
        <f t="shared" ref="G63" si="32">+SUM(G60:G62)</f>
        <v>12526.232399999997</v>
      </c>
      <c r="H63" s="50">
        <f t="shared" ref="H63" si="33">+SUM(H60:H62)</f>
        <v>13065.669540000001</v>
      </c>
      <c r="I63" s="41"/>
    </row>
    <row r="64" spans="2:9" x14ac:dyDescent="0.4">
      <c r="C64" s="41"/>
      <c r="D64" s="41"/>
      <c r="E64" s="41"/>
      <c r="F64" s="41"/>
      <c r="G64" s="41"/>
      <c r="H64" s="41"/>
      <c r="I64" s="41"/>
    </row>
    <row r="65" spans="2:9" x14ac:dyDescent="0.4">
      <c r="B65" s="87" t="s">
        <v>206</v>
      </c>
      <c r="C65" s="52"/>
      <c r="D65" s="52"/>
      <c r="E65" s="52"/>
      <c r="F65" s="52"/>
      <c r="G65" s="52"/>
      <c r="H65" s="52"/>
      <c r="I65" s="41"/>
    </row>
    <row r="66" spans="2:9" x14ac:dyDescent="0.4">
      <c r="B66" s="86" t="s">
        <v>209</v>
      </c>
      <c r="C66" s="41"/>
      <c r="D66" s="41"/>
      <c r="E66" s="41"/>
      <c r="F66" s="41"/>
      <c r="G66" s="41"/>
      <c r="H66" s="41"/>
      <c r="I66" s="41"/>
    </row>
    <row r="67" spans="2:9" x14ac:dyDescent="0.4">
      <c r="C67" s="41"/>
      <c r="D67" s="41"/>
      <c r="E67" s="41"/>
      <c r="F67" s="41"/>
      <c r="G67" s="41"/>
      <c r="H67" s="41"/>
      <c r="I67" s="41"/>
    </row>
    <row r="68" spans="2:9" x14ac:dyDescent="0.4">
      <c r="C68" s="41"/>
      <c r="D68" s="41"/>
      <c r="E68" s="41"/>
      <c r="F68" s="41"/>
      <c r="G68" s="41"/>
      <c r="H68" s="41"/>
      <c r="I68" s="41"/>
    </row>
    <row r="69" spans="2:9" x14ac:dyDescent="0.4">
      <c r="C69" s="41"/>
      <c r="D69" s="41"/>
      <c r="E69" s="41"/>
      <c r="F69" s="41"/>
      <c r="G69" s="41"/>
      <c r="H69" s="41"/>
      <c r="I69" s="41"/>
    </row>
    <row r="70" spans="2:9" x14ac:dyDescent="0.4">
      <c r="C70" s="41"/>
      <c r="D70" s="41"/>
      <c r="E70" s="41"/>
      <c r="F70" s="41"/>
      <c r="G70" s="41"/>
      <c r="H70" s="41"/>
      <c r="I70" s="41"/>
    </row>
    <row r="71" spans="2:9" x14ac:dyDescent="0.4">
      <c r="C71" s="41"/>
      <c r="D71" s="41"/>
      <c r="E71" s="41"/>
      <c r="F71" s="41"/>
      <c r="G71" s="41"/>
      <c r="H71" s="41"/>
      <c r="I71" s="41"/>
    </row>
    <row r="72" spans="2:9" x14ac:dyDescent="0.4">
      <c r="C72" s="41"/>
      <c r="D72" s="41"/>
      <c r="E72" s="41"/>
      <c r="F72" s="41"/>
      <c r="G72" s="41"/>
      <c r="H72" s="41"/>
      <c r="I72" s="41"/>
    </row>
    <row r="73" spans="2:9" x14ac:dyDescent="0.4">
      <c r="C73" s="41"/>
      <c r="D73" s="41"/>
      <c r="E73" s="41"/>
      <c r="F73" s="41"/>
      <c r="G73" s="41"/>
      <c r="H73" s="41"/>
      <c r="I73" s="41"/>
    </row>
    <row r="74" spans="2:9" x14ac:dyDescent="0.4">
      <c r="C74" s="41"/>
      <c r="D74" s="41"/>
      <c r="E74" s="41"/>
      <c r="F74" s="41"/>
      <c r="G74" s="41"/>
      <c r="H74" s="41"/>
      <c r="I74" s="41"/>
    </row>
    <row r="75" spans="2:9" x14ac:dyDescent="0.4">
      <c r="C75" s="41"/>
      <c r="D75" s="41"/>
      <c r="E75" s="41"/>
      <c r="F75" s="41"/>
      <c r="G75" s="41"/>
      <c r="H75" s="41"/>
      <c r="I75" s="41"/>
    </row>
    <row r="76" spans="2:9" x14ac:dyDescent="0.4">
      <c r="C76" s="41"/>
      <c r="D76" s="41"/>
      <c r="E76" s="41"/>
      <c r="F76" s="41"/>
      <c r="G76" s="41"/>
      <c r="H76" s="41"/>
      <c r="I76" s="41"/>
    </row>
    <row r="77" spans="2:9" x14ac:dyDescent="0.4">
      <c r="C77" s="41"/>
      <c r="D77" s="41"/>
      <c r="E77" s="41"/>
      <c r="F77" s="41"/>
      <c r="G77" s="41"/>
      <c r="H77" s="41"/>
      <c r="I77" s="41"/>
    </row>
    <row r="78" spans="2:9" x14ac:dyDescent="0.4">
      <c r="C78" s="41"/>
      <c r="D78" s="41"/>
      <c r="E78" s="41"/>
      <c r="F78" s="41"/>
      <c r="G78" s="41"/>
      <c r="H78" s="41"/>
      <c r="I78" s="41"/>
    </row>
    <row r="79" spans="2:9" x14ac:dyDescent="0.4">
      <c r="C79" s="41"/>
      <c r="D79" s="41"/>
      <c r="E79" s="41"/>
      <c r="F79" s="41"/>
      <c r="G79" s="41"/>
      <c r="H79" s="41"/>
      <c r="I79" s="41"/>
    </row>
    <row r="105" spans="25:25" x14ac:dyDescent="0.4">
      <c r="Y105" s="113" t="s">
        <v>222</v>
      </c>
    </row>
  </sheetData>
  <phoneticPr fontId="1" type="noConversion"/>
  <conditionalFormatting sqref="C13">
    <cfRule type="cellIs" dxfId="2" priority="1" operator="greaterThan">
      <formula>0</formula>
    </cfRule>
    <cfRule type="cellIs" dxfId="1" priority="2"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D1EE4-E75A-4FF6-9408-48D9B39C4176}">
  <sheetPr>
    <tabColor theme="9" tint="0.59999389629810485"/>
  </sheetPr>
  <dimension ref="B2:V23"/>
  <sheetViews>
    <sheetView showGridLines="0" zoomScale="55" zoomScaleNormal="55" workbookViewId="0"/>
  </sheetViews>
  <sheetFormatPr defaultRowHeight="16.8" x14ac:dyDescent="0.4"/>
  <cols>
    <col min="1" max="1" width="3.69921875" customWidth="1"/>
    <col min="2" max="2" width="19.296875" customWidth="1"/>
  </cols>
  <sheetData>
    <row r="2" spans="2:22" x14ac:dyDescent="0.4">
      <c r="B2" s="10" t="s">
        <v>218</v>
      </c>
    </row>
    <row r="3" spans="2:22" x14ac:dyDescent="0.4">
      <c r="B3" s="10"/>
      <c r="V3" s="104" t="s">
        <v>222</v>
      </c>
    </row>
    <row r="4" spans="2:22" x14ac:dyDescent="0.4">
      <c r="B4" s="80" t="s">
        <v>220</v>
      </c>
    </row>
    <row r="5" spans="2:22" ht="17.399999999999999" thickBot="1" x14ac:dyDescent="0.45"/>
    <row r="6" spans="2:22" ht="17.399999999999999" thickTop="1" x14ac:dyDescent="0.4">
      <c r="B6" s="91" t="s">
        <v>184</v>
      </c>
      <c r="C6" s="94">
        <f>+'Discount rate'!C5</f>
        <v>7.2500000000000009E-2</v>
      </c>
    </row>
    <row r="7" spans="2:22" ht="17.399999999999999" thickBot="1" x14ac:dyDescent="0.45">
      <c r="B7" s="95" t="s">
        <v>185</v>
      </c>
      <c r="C7" s="96">
        <v>0.01</v>
      </c>
    </row>
    <row r="8" spans="2:22" ht="17.399999999999999" thickTop="1" x14ac:dyDescent="0.4">
      <c r="C8" s="102"/>
    </row>
    <row r="9" spans="2:22" x14ac:dyDescent="0.4">
      <c r="B9" t="s">
        <v>221</v>
      </c>
      <c r="C9" s="102"/>
    </row>
    <row r="10" spans="2:22" ht="17.399999999999999" thickBot="1" x14ac:dyDescent="0.45"/>
    <row r="11" spans="2:22" ht="76.8" customHeight="1" thickTop="1" x14ac:dyDescent="0.4">
      <c r="B11" s="91"/>
      <c r="C11" s="97"/>
      <c r="D11" s="107" t="s">
        <v>185</v>
      </c>
      <c r="E11" s="108"/>
      <c r="F11" s="108"/>
      <c r="G11" s="108"/>
      <c r="H11" s="108"/>
      <c r="I11" s="108"/>
      <c r="J11" s="108"/>
      <c r="K11" s="108"/>
      <c r="L11" s="109"/>
    </row>
    <row r="12" spans="2:22" x14ac:dyDescent="0.4">
      <c r="B12" s="98"/>
      <c r="C12" s="90">
        <f>+'Model calculation'!C5</f>
        <v>878.53866389875327</v>
      </c>
      <c r="D12" s="14">
        <v>0</v>
      </c>
      <c r="E12" s="14">
        <f t="shared" ref="E12:L12" si="0">+D12+0.25%</f>
        <v>2.5000000000000001E-3</v>
      </c>
      <c r="F12" s="14">
        <f t="shared" si="0"/>
        <v>5.0000000000000001E-3</v>
      </c>
      <c r="G12" s="14">
        <f t="shared" si="0"/>
        <v>7.4999999999999997E-3</v>
      </c>
      <c r="H12" s="14">
        <f t="shared" si="0"/>
        <v>0.01</v>
      </c>
      <c r="I12" s="14">
        <f t="shared" si="0"/>
        <v>1.2500000000000001E-2</v>
      </c>
      <c r="J12" s="14">
        <f t="shared" si="0"/>
        <v>1.5000000000000001E-2</v>
      </c>
      <c r="K12" s="14">
        <f t="shared" si="0"/>
        <v>1.7500000000000002E-2</v>
      </c>
      <c r="L12" s="92">
        <f t="shared" si="0"/>
        <v>0.02</v>
      </c>
    </row>
    <row r="13" spans="2:22" x14ac:dyDescent="0.4">
      <c r="B13" s="110" t="s">
        <v>184</v>
      </c>
      <c r="C13" s="14">
        <v>8.2500000000000004E-2</v>
      </c>
      <c r="D13" s="7">
        <f t="dataTable" ref="D13:L21" dt2D="1" dtr="1" r1="C7" r2="C6"/>
        <v>670.84142018271132</v>
      </c>
      <c r="E13" s="7">
        <v>688.41278728573309</v>
      </c>
      <c r="F13" s="7">
        <v>707.11779097604665</v>
      </c>
      <c r="G13" s="7">
        <v>727.0697949123811</v>
      </c>
      <c r="H13" s="7">
        <v>748.39779912018685</v>
      </c>
      <c r="I13" s="7">
        <v>771.24923219997879</v>
      </c>
      <c r="J13" s="7">
        <v>795.79336402642207</v>
      </c>
      <c r="K13" s="7">
        <v>822.22550599336091</v>
      </c>
      <c r="L13" s="99">
        <v>850.77221931765484</v>
      </c>
    </row>
    <row r="14" spans="2:22" x14ac:dyDescent="0.4">
      <c r="B14" s="111"/>
      <c r="C14" s="14">
        <f t="shared" ref="C14:C21" si="1">+C13-0.25%</f>
        <v>0.08</v>
      </c>
      <c r="D14" s="7">
        <v>693.92940888384726</v>
      </c>
      <c r="E14" s="7">
        <v>712.78639674936892</v>
      </c>
      <c r="F14" s="7">
        <v>732.90051713925857</v>
      </c>
      <c r="G14" s="7">
        <v>754.40181824569243</v>
      </c>
      <c r="H14" s="7">
        <v>777.43892657401432</v>
      </c>
      <c r="I14" s="7">
        <v>802.18248737110082</v>
      </c>
      <c r="J14" s="7">
        <v>828.82939899873247</v>
      </c>
      <c r="K14" s="7">
        <v>857.60806355657496</v>
      </c>
      <c r="L14" s="99">
        <v>888.78495016090415</v>
      </c>
    </row>
    <row r="15" spans="2:22" x14ac:dyDescent="0.4">
      <c r="B15" s="111"/>
      <c r="C15" s="14">
        <f t="shared" si="1"/>
        <v>7.7499999999999999E-2</v>
      </c>
      <c r="D15" s="7">
        <v>718.51269813981048</v>
      </c>
      <c r="E15" s="7">
        <v>738.79063252726587</v>
      </c>
      <c r="F15" s="7">
        <v>760.4670451483388</v>
      </c>
      <c r="G15" s="7">
        <v>783.6917729566311</v>
      </c>
      <c r="H15" s="7">
        <v>808.63685097294524</v>
      </c>
      <c r="I15" s="7">
        <v>835.50078114436042</v>
      </c>
      <c r="J15" s="7">
        <v>864.51382572948876</v>
      </c>
      <c r="K15" s="7">
        <v>895.94462403004468</v>
      </c>
      <c r="L15" s="99">
        <v>930.108535226301</v>
      </c>
    </row>
    <row r="16" spans="2:22" x14ac:dyDescent="0.4">
      <c r="B16" s="111"/>
      <c r="C16" s="14">
        <f t="shared" si="1"/>
        <v>7.4999999999999997E-2</v>
      </c>
      <c r="D16" s="7">
        <v>744.74089272580181</v>
      </c>
      <c r="E16" s="7">
        <v>766.59425475522744</v>
      </c>
      <c r="F16" s="7">
        <v>790.00857121532647</v>
      </c>
      <c r="G16" s="7">
        <v>815.15728148728454</v>
      </c>
      <c r="H16" s="7">
        <v>842.24050793400875</v>
      </c>
      <c r="I16" s="7">
        <v>871.4903924964708</v>
      </c>
      <c r="J16" s="7">
        <v>903.17776743913817</v>
      </c>
      <c r="K16" s="7">
        <v>937.62056628986352</v>
      </c>
      <c r="L16" s="99">
        <v>975.19452867247298</v>
      </c>
    </row>
    <row r="17" spans="2:12" x14ac:dyDescent="0.4">
      <c r="B17" s="111"/>
      <c r="C17" s="14">
        <f t="shared" si="1"/>
        <v>7.2499999999999995E-2</v>
      </c>
      <c r="D17" s="7">
        <v>772.7842336767618</v>
      </c>
      <c r="E17" s="7">
        <v>796.39013327988494</v>
      </c>
      <c r="F17" s="7">
        <v>821.74461803879501</v>
      </c>
      <c r="G17" s="7">
        <v>849.04944777915978</v>
      </c>
      <c r="H17" s="7">
        <v>878.53866389875373</v>
      </c>
      <c r="I17" s="7">
        <v>910.48531469498016</v>
      </c>
      <c r="J17" s="7">
        <v>945.20993512566133</v>
      </c>
      <c r="K17" s="7">
        <v>983.09133923185891</v>
      </c>
      <c r="L17" s="99">
        <v>1024.5804961100757</v>
      </c>
    </row>
    <row r="18" spans="2:12" x14ac:dyDescent="0.4">
      <c r="B18" s="111"/>
      <c r="C18" s="14">
        <f t="shared" si="1"/>
        <v>6.9999999999999993E-2</v>
      </c>
      <c r="D18" s="7">
        <v>802.83728335329147</v>
      </c>
      <c r="E18" s="7">
        <v>828.39971243956518</v>
      </c>
      <c r="F18" s="7">
        <v>855.92848222478312</v>
      </c>
      <c r="G18" s="7">
        <v>885.65955359281861</v>
      </c>
      <c r="H18" s="7">
        <v>917.86821424152356</v>
      </c>
      <c r="I18" s="7">
        <v>952.87762799011568</v>
      </c>
      <c r="J18" s="7">
        <v>991.06971571585279</v>
      </c>
      <c r="K18" s="7">
        <v>1032.8991451297557</v>
      </c>
      <c r="L18" s="99">
        <v>1078.9115174850485</v>
      </c>
    </row>
    <row r="19" spans="2:12" x14ac:dyDescent="0.4">
      <c r="B19" s="111"/>
      <c r="C19" s="14">
        <f t="shared" si="1"/>
        <v>6.7499999999999991E-2</v>
      </c>
      <c r="D19" s="7">
        <v>835.12342941150189</v>
      </c>
      <c r="E19" s="7">
        <v>862.87850617960021</v>
      </c>
      <c r="F19" s="7">
        <v>892.85398908914647</v>
      </c>
      <c r="G19" s="7">
        <v>925.32742890782208</v>
      </c>
      <c r="H19" s="7">
        <v>960.62464610203426</v>
      </c>
      <c r="I19" s="7">
        <v>999.13070122299291</v>
      </c>
      <c r="J19" s="7">
        <v>1041.3039996888049</v>
      </c>
      <c r="K19" s="7">
        <v>1087.6946280011985</v>
      </c>
      <c r="L19" s="99">
        <v>1138.968480346475</v>
      </c>
    </row>
    <row r="20" spans="2:12" x14ac:dyDescent="0.4">
      <c r="B20" s="111"/>
      <c r="C20" s="14">
        <f t="shared" si="1"/>
        <v>6.4999999999999988E-2</v>
      </c>
      <c r="D20" s="7">
        <v>869.90042815093784</v>
      </c>
      <c r="E20" s="7">
        <v>900.1229119957286</v>
      </c>
      <c r="F20" s="7">
        <v>932.86393616091868</v>
      </c>
      <c r="G20" s="7">
        <v>968.45200590569061</v>
      </c>
      <c r="H20" s="7">
        <v>1007.2753547181687</v>
      </c>
      <c r="I20" s="7">
        <v>1049.7961653223117</v>
      </c>
      <c r="J20" s="7">
        <v>1096.5690569868689</v>
      </c>
      <c r="K20" s="7">
        <v>1148.265410931906</v>
      </c>
      <c r="L20" s="99">
        <v>1205.7058042041695</v>
      </c>
    </row>
    <row r="21" spans="2:12" ht="17.399999999999999" thickBot="1" x14ac:dyDescent="0.45">
      <c r="B21" s="112"/>
      <c r="C21" s="93">
        <f t="shared" si="1"/>
        <v>6.2499999999999986E-2</v>
      </c>
      <c r="D21" s="100">
        <v>907.46727826645053</v>
      </c>
      <c r="E21" s="100">
        <v>940.47872836379815</v>
      </c>
      <c r="F21" s="100">
        <v>976.36073933917601</v>
      </c>
      <c r="G21" s="100">
        <v>1015.5047513123156</v>
      </c>
      <c r="H21" s="100">
        <v>1058.3767644257543</v>
      </c>
      <c r="I21" s="100">
        <v>1105.5359788505366</v>
      </c>
      <c r="J21" s="100">
        <v>1157.6593211095064</v>
      </c>
      <c r="K21" s="100">
        <v>1215.5741458416956</v>
      </c>
      <c r="L21" s="101">
        <v>1280.3024793659069</v>
      </c>
    </row>
    <row r="22" spans="2:12" ht="17.399999999999999" thickTop="1" x14ac:dyDescent="0.4">
      <c r="C22" s="5"/>
    </row>
    <row r="23" spans="2:12" x14ac:dyDescent="0.4">
      <c r="B23" t="s">
        <v>219</v>
      </c>
    </row>
  </sheetData>
  <mergeCells count="2">
    <mergeCell ref="D11:L11"/>
    <mergeCell ref="B13:B21"/>
  </mergeCells>
  <phoneticPr fontId="1" type="noConversion"/>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lessThan" id="{BBCDF33D-E92C-499E-9491-E2C97D660C3A}">
            <xm:f>'Model calculation'!$C$6</xm:f>
            <x14:dxf>
              <fill>
                <gradientFill degree="90">
                  <stop position="0">
                    <color theme="0"/>
                  </stop>
                  <stop position="1">
                    <color rgb="FFFF0000"/>
                  </stop>
                </gradientFill>
              </fill>
            </x14:dxf>
          </x14:cfRule>
          <xm:sqref>D13:L21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911C1-81C1-4562-BEA1-032945DCD448}">
  <sheetPr>
    <tabColor theme="9" tint="0.79998168889431442"/>
  </sheetPr>
  <dimension ref="B2:P22"/>
  <sheetViews>
    <sheetView showGridLines="0" zoomScale="55" zoomScaleNormal="55" workbookViewId="0"/>
  </sheetViews>
  <sheetFormatPr defaultRowHeight="16.8" x14ac:dyDescent="0.4"/>
  <cols>
    <col min="1" max="1" width="2.5" style="26" customWidth="1"/>
    <col min="2" max="2" width="29.8984375" style="26" bestFit="1" customWidth="1"/>
    <col min="3" max="3" width="10.5" style="26" bestFit="1" customWidth="1"/>
    <col min="4" max="4" width="15.5" style="26" bestFit="1" customWidth="1"/>
    <col min="5" max="5" width="31.5" style="26" bestFit="1" customWidth="1"/>
    <col min="6" max="6" width="13.59765625" style="26" bestFit="1" customWidth="1"/>
    <col min="7" max="7" width="10.296875" style="26" bestFit="1" customWidth="1"/>
    <col min="8" max="8" width="16.5" style="26" bestFit="1" customWidth="1"/>
    <col min="9" max="9" width="11.69921875" style="26" bestFit="1" customWidth="1"/>
    <col min="10" max="10" width="25" style="26" bestFit="1" customWidth="1"/>
    <col min="11" max="11" width="14.796875" style="26" bestFit="1" customWidth="1"/>
    <col min="12" max="12" width="19.3984375" style="26" bestFit="1" customWidth="1"/>
    <col min="13" max="13" width="12.8984375" style="26" bestFit="1" customWidth="1"/>
    <col min="14" max="16384" width="8.796875" style="26"/>
  </cols>
  <sheetData>
    <row r="2" spans="2:16" x14ac:dyDescent="0.4">
      <c r="B2" s="25" t="s">
        <v>87</v>
      </c>
    </row>
    <row r="3" spans="2:16" x14ac:dyDescent="0.4">
      <c r="B3" s="70" t="s">
        <v>94</v>
      </c>
      <c r="C3" s="71">
        <v>2024</v>
      </c>
      <c r="D3" s="71">
        <v>2025</v>
      </c>
      <c r="E3" s="71">
        <v>2026</v>
      </c>
      <c r="F3" s="71">
        <v>2027</v>
      </c>
      <c r="G3" s="71">
        <v>2028</v>
      </c>
      <c r="H3" s="71">
        <v>2029</v>
      </c>
    </row>
    <row r="4" spans="2:16" x14ac:dyDescent="0.4">
      <c r="B4" s="72" t="s">
        <v>88</v>
      </c>
      <c r="C4" s="73">
        <v>50</v>
      </c>
      <c r="D4" s="73">
        <v>50.5</v>
      </c>
      <c r="E4" s="73">
        <v>51.01</v>
      </c>
      <c r="F4" s="73">
        <v>51.52</v>
      </c>
      <c r="G4" s="73">
        <v>52.03</v>
      </c>
      <c r="H4" s="73">
        <v>52.55</v>
      </c>
    </row>
    <row r="5" spans="2:16" x14ac:dyDescent="0.4">
      <c r="B5" s="72" t="s">
        <v>89</v>
      </c>
      <c r="C5" s="73">
        <v>7.58</v>
      </c>
      <c r="D5" s="73">
        <v>6.65</v>
      </c>
      <c r="E5" s="73">
        <v>6.71</v>
      </c>
      <c r="F5" s="73">
        <v>9.58</v>
      </c>
      <c r="G5" s="73">
        <v>6.85</v>
      </c>
      <c r="H5" s="73">
        <v>6.92</v>
      </c>
      <c r="P5" s="113" t="s">
        <v>222</v>
      </c>
    </row>
    <row r="6" spans="2:16" x14ac:dyDescent="0.4">
      <c r="B6" s="72" t="s">
        <v>90</v>
      </c>
      <c r="C6" s="73">
        <v>20.25</v>
      </c>
      <c r="D6" s="73">
        <v>20.45</v>
      </c>
      <c r="E6" s="73">
        <v>22.96</v>
      </c>
      <c r="F6" s="73">
        <v>20.86</v>
      </c>
      <c r="G6" s="73">
        <v>21.07</v>
      </c>
      <c r="H6" s="73">
        <v>21.28</v>
      </c>
    </row>
    <row r="7" spans="2:16" x14ac:dyDescent="0.4">
      <c r="B7" s="72" t="s">
        <v>91</v>
      </c>
      <c r="C7" s="73">
        <v>24.75</v>
      </c>
      <c r="D7" s="73">
        <v>26.56</v>
      </c>
      <c r="E7" s="73">
        <v>25.25</v>
      </c>
      <c r="F7" s="73">
        <v>25.5</v>
      </c>
      <c r="G7" s="73">
        <v>25.75</v>
      </c>
      <c r="H7" s="73">
        <v>26.01</v>
      </c>
    </row>
    <row r="8" spans="2:16" x14ac:dyDescent="0.4">
      <c r="B8" s="72" t="s">
        <v>92</v>
      </c>
      <c r="C8" s="73">
        <v>3.33</v>
      </c>
      <c r="D8" s="73">
        <v>3.37</v>
      </c>
      <c r="E8" s="73">
        <v>3.4</v>
      </c>
      <c r="F8" s="73">
        <v>3.43</v>
      </c>
      <c r="G8" s="73">
        <v>4</v>
      </c>
      <c r="H8" s="73">
        <v>3.5</v>
      </c>
    </row>
    <row r="9" spans="2:16" x14ac:dyDescent="0.4">
      <c r="B9" s="74" t="s">
        <v>93</v>
      </c>
      <c r="C9" s="75">
        <f>+SUM(C4:C8)</f>
        <v>105.91</v>
      </c>
      <c r="D9" s="75">
        <f t="shared" ref="D9:H9" si="0">+SUM(D4:D8)</f>
        <v>107.53</v>
      </c>
      <c r="E9" s="75">
        <f t="shared" si="0"/>
        <v>109.33000000000001</v>
      </c>
      <c r="F9" s="75">
        <f t="shared" si="0"/>
        <v>110.89000000000001</v>
      </c>
      <c r="G9" s="75">
        <f t="shared" si="0"/>
        <v>109.7</v>
      </c>
      <c r="H9" s="75">
        <f t="shared" si="0"/>
        <v>110.26</v>
      </c>
    </row>
    <row r="11" spans="2:16" x14ac:dyDescent="0.4">
      <c r="B11" s="25" t="s">
        <v>95</v>
      </c>
    </row>
    <row r="12" spans="2:16" x14ac:dyDescent="0.4">
      <c r="B12" s="70" t="s">
        <v>96</v>
      </c>
      <c r="C12" s="70" t="s">
        <v>97</v>
      </c>
      <c r="D12" s="70" t="s">
        <v>98</v>
      </c>
      <c r="E12" s="70" t="s">
        <v>99</v>
      </c>
      <c r="F12" s="70" t="s">
        <v>100</v>
      </c>
      <c r="G12" s="71" t="s">
        <v>101</v>
      </c>
      <c r="H12" s="71" t="s">
        <v>102</v>
      </c>
      <c r="I12" s="71" t="s">
        <v>103</v>
      </c>
      <c r="J12" s="71" t="s">
        <v>104</v>
      </c>
      <c r="K12" s="71" t="s">
        <v>105</v>
      </c>
      <c r="L12" s="71" t="s">
        <v>106</v>
      </c>
      <c r="M12" s="103"/>
    </row>
    <row r="13" spans="2:16" x14ac:dyDescent="0.4">
      <c r="B13" s="72" t="s">
        <v>107</v>
      </c>
      <c r="C13" s="72" t="s">
        <v>110</v>
      </c>
      <c r="D13" s="72" t="s">
        <v>113</v>
      </c>
      <c r="E13" s="72" t="s">
        <v>116</v>
      </c>
      <c r="F13" s="72" t="s">
        <v>121</v>
      </c>
      <c r="G13" s="72">
        <v>20</v>
      </c>
      <c r="H13" s="76">
        <v>300</v>
      </c>
      <c r="I13" s="77">
        <v>0.43874172185430399</v>
      </c>
      <c r="J13" s="76">
        <v>-60</v>
      </c>
      <c r="K13" s="76">
        <f>105.298013245033/I13</f>
        <v>240.00000000000011</v>
      </c>
      <c r="L13" s="76">
        <f>+H13/G13*I13</f>
        <v>6.5811258278145601</v>
      </c>
      <c r="M13" s="103"/>
    </row>
    <row r="14" spans="2:16" x14ac:dyDescent="0.4">
      <c r="B14" s="72" t="s">
        <v>108</v>
      </c>
      <c r="C14" s="72" t="s">
        <v>110</v>
      </c>
      <c r="D14" s="72" t="s">
        <v>114</v>
      </c>
      <c r="E14" s="72" t="s">
        <v>117</v>
      </c>
      <c r="F14" s="72" t="s">
        <v>122</v>
      </c>
      <c r="G14" s="72">
        <v>20</v>
      </c>
      <c r="H14" s="76">
        <v>1000</v>
      </c>
      <c r="I14" s="77">
        <v>1</v>
      </c>
      <c r="J14" s="76">
        <v>-300</v>
      </c>
      <c r="K14" s="76">
        <f>+H14+J14</f>
        <v>700</v>
      </c>
      <c r="L14" s="76">
        <f>+H14/G14*I14</f>
        <v>50</v>
      </c>
      <c r="M14" s="103"/>
    </row>
    <row r="15" spans="2:16" x14ac:dyDescent="0.4">
      <c r="B15" s="72" t="s">
        <v>108</v>
      </c>
      <c r="C15" s="72" t="s">
        <v>111</v>
      </c>
      <c r="D15" s="72" t="s">
        <v>115</v>
      </c>
      <c r="E15" s="72" t="s">
        <v>119</v>
      </c>
      <c r="F15" s="72" t="s">
        <v>122</v>
      </c>
      <c r="G15" s="72">
        <v>10</v>
      </c>
      <c r="H15" s="76">
        <v>450</v>
      </c>
      <c r="I15" s="77">
        <v>1</v>
      </c>
      <c r="J15" s="76">
        <v>-270</v>
      </c>
      <c r="K15" s="76">
        <f>+H15+J15</f>
        <v>180</v>
      </c>
      <c r="L15" s="76">
        <f>+H15/G15*I15</f>
        <v>45</v>
      </c>
      <c r="M15" s="103"/>
    </row>
    <row r="16" spans="2:16" x14ac:dyDescent="0.4">
      <c r="B16" s="72" t="s">
        <v>109</v>
      </c>
      <c r="C16" s="72" t="s">
        <v>112</v>
      </c>
      <c r="D16" s="72" t="s">
        <v>118</v>
      </c>
      <c r="E16" s="72" t="s">
        <v>120</v>
      </c>
      <c r="F16" s="72" t="s">
        <v>122</v>
      </c>
      <c r="G16" s="72">
        <v>6</v>
      </c>
      <c r="H16" s="76">
        <v>20</v>
      </c>
      <c r="I16" s="77">
        <v>1</v>
      </c>
      <c r="J16" s="76">
        <v>-3.3333333333333335</v>
      </c>
      <c r="K16" s="76">
        <f>+H16+J16</f>
        <v>16.666666666666668</v>
      </c>
      <c r="L16" s="76">
        <f>+H16/G16*I16</f>
        <v>3.3333333333333335</v>
      </c>
      <c r="M16" s="103"/>
    </row>
    <row r="17" spans="2:13" x14ac:dyDescent="0.4">
      <c r="J17" s="78"/>
      <c r="K17" s="78"/>
      <c r="L17" s="78"/>
      <c r="M17" s="103"/>
    </row>
    <row r="18" spans="2:13" x14ac:dyDescent="0.4">
      <c r="B18" s="70" t="s">
        <v>96</v>
      </c>
      <c r="C18" s="71">
        <v>2024</v>
      </c>
      <c r="D18" s="71">
        <v>2025</v>
      </c>
      <c r="E18" s="71">
        <v>2026</v>
      </c>
      <c r="F18" s="71">
        <v>2027</v>
      </c>
      <c r="G18" s="71">
        <v>2028</v>
      </c>
      <c r="H18" s="71">
        <v>2029</v>
      </c>
      <c r="M18" s="103"/>
    </row>
    <row r="19" spans="2:13" x14ac:dyDescent="0.4">
      <c r="B19" s="72" t="s">
        <v>107</v>
      </c>
      <c r="C19" s="73">
        <v>6.58</v>
      </c>
      <c r="D19" s="73">
        <v>6.65</v>
      </c>
      <c r="E19" s="73">
        <v>6.71</v>
      </c>
      <c r="F19" s="73">
        <v>6.78</v>
      </c>
      <c r="G19" s="73">
        <v>6.85</v>
      </c>
      <c r="H19" s="73">
        <v>6.92</v>
      </c>
    </row>
    <row r="20" spans="2:13" x14ac:dyDescent="0.4">
      <c r="B20" s="72" t="s">
        <v>108</v>
      </c>
      <c r="C20" s="73">
        <v>95</v>
      </c>
      <c r="D20" s="73">
        <v>95.95</v>
      </c>
      <c r="E20" s="73">
        <v>96.91</v>
      </c>
      <c r="F20" s="73">
        <v>97.88</v>
      </c>
      <c r="G20" s="73">
        <v>98.86</v>
      </c>
      <c r="H20" s="73">
        <v>99.85</v>
      </c>
    </row>
    <row r="21" spans="2:13" x14ac:dyDescent="0.4">
      <c r="B21" s="72" t="s">
        <v>109</v>
      </c>
      <c r="C21" s="73">
        <v>3.33</v>
      </c>
      <c r="D21" s="73">
        <v>3.37</v>
      </c>
      <c r="E21" s="73">
        <v>3.4</v>
      </c>
      <c r="F21" s="73">
        <v>3.43</v>
      </c>
      <c r="G21" s="73">
        <v>3.47</v>
      </c>
      <c r="H21" s="73">
        <v>3.5</v>
      </c>
    </row>
    <row r="22" spans="2:13" x14ac:dyDescent="0.4">
      <c r="B22" s="72" t="s">
        <v>93</v>
      </c>
      <c r="C22" s="73">
        <f>+SUM(C19:C21)</f>
        <v>104.91</v>
      </c>
      <c r="D22" s="73">
        <f t="shared" ref="D22:H22" si="1">+SUM(D19:D21)</f>
        <v>105.97000000000001</v>
      </c>
      <c r="E22" s="73">
        <f t="shared" si="1"/>
        <v>107.02</v>
      </c>
      <c r="F22" s="73">
        <f t="shared" si="1"/>
        <v>108.09</v>
      </c>
      <c r="G22" s="73">
        <f t="shared" si="1"/>
        <v>109.17999999999999</v>
      </c>
      <c r="H22" s="73">
        <f t="shared" si="1"/>
        <v>110.27</v>
      </c>
    </row>
  </sheetData>
  <phoneticPr fontId="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BEDE8-BBBF-4F38-964F-076821CE9AE5}">
  <sheetPr>
    <tabColor theme="9" tint="0.79998168889431442"/>
  </sheetPr>
  <dimension ref="B2:H7"/>
  <sheetViews>
    <sheetView showGridLines="0" zoomScale="55" zoomScaleNormal="55" workbookViewId="0"/>
  </sheetViews>
  <sheetFormatPr defaultRowHeight="16.8" x14ac:dyDescent="0.4"/>
  <cols>
    <col min="1" max="1" width="2.5" customWidth="1"/>
    <col min="2" max="2" width="29.8984375" bestFit="1" customWidth="1"/>
    <col min="3" max="8" width="6.5" bestFit="1" customWidth="1"/>
  </cols>
  <sheetData>
    <row r="2" spans="2:8" x14ac:dyDescent="0.4">
      <c r="B2" s="10" t="s">
        <v>129</v>
      </c>
    </row>
    <row r="3" spans="2:8" x14ac:dyDescent="0.4">
      <c r="B3" s="9" t="s">
        <v>124</v>
      </c>
      <c r="C3" s="12">
        <v>2024</v>
      </c>
      <c r="D3" s="12">
        <v>2025</v>
      </c>
      <c r="E3" s="12">
        <v>2026</v>
      </c>
      <c r="F3" s="12">
        <v>2027</v>
      </c>
      <c r="G3" s="12">
        <v>2028</v>
      </c>
      <c r="H3" s="12">
        <v>2029</v>
      </c>
    </row>
    <row r="4" spans="2:8" x14ac:dyDescent="0.4">
      <c r="B4" s="6" t="s">
        <v>130</v>
      </c>
      <c r="C4" s="7">
        <v>-3126</v>
      </c>
      <c r="D4" s="7">
        <v>-3157</v>
      </c>
      <c r="E4" s="7">
        <v>-3189</v>
      </c>
      <c r="F4" s="7">
        <v>-3221</v>
      </c>
      <c r="G4" s="7">
        <v>-3253</v>
      </c>
      <c r="H4" s="7">
        <v>-3285</v>
      </c>
    </row>
    <row r="5" spans="2:8" x14ac:dyDescent="0.4">
      <c r="B5" s="6" t="s">
        <v>131</v>
      </c>
      <c r="C5" s="7">
        <v>-4520</v>
      </c>
      <c r="D5" s="7">
        <v>-4565</v>
      </c>
      <c r="E5" s="7">
        <v>-4611</v>
      </c>
      <c r="F5" s="7">
        <v>-4657</v>
      </c>
      <c r="G5" s="7">
        <v>-4704</v>
      </c>
      <c r="H5" s="7">
        <v>-4751</v>
      </c>
    </row>
    <row r="6" spans="2:8" x14ac:dyDescent="0.4">
      <c r="B6" s="6" t="s">
        <v>132</v>
      </c>
      <c r="C6" s="7">
        <v>-806</v>
      </c>
      <c r="D6" s="7">
        <v>-814</v>
      </c>
      <c r="E6" s="7">
        <v>-822</v>
      </c>
      <c r="F6" s="7">
        <v>-830</v>
      </c>
      <c r="G6" s="7">
        <v>-839</v>
      </c>
      <c r="H6" s="7">
        <v>-847</v>
      </c>
    </row>
    <row r="7" spans="2:8" x14ac:dyDescent="0.4">
      <c r="B7" s="6" t="s">
        <v>93</v>
      </c>
      <c r="C7" s="7">
        <f>+SUM(C4:C6)</f>
        <v>-8452</v>
      </c>
      <c r="D7" s="7">
        <f t="shared" ref="D7:H7" si="0">+SUM(D4:D6)</f>
        <v>-8536</v>
      </c>
      <c r="E7" s="7">
        <f t="shared" si="0"/>
        <v>-8622</v>
      </c>
      <c r="F7" s="7">
        <f t="shared" si="0"/>
        <v>-8708</v>
      </c>
      <c r="G7" s="7">
        <f t="shared" si="0"/>
        <v>-8796</v>
      </c>
      <c r="H7" s="7">
        <f t="shared" si="0"/>
        <v>-8883</v>
      </c>
    </row>
  </sheetData>
  <phoneticPr fontId="1"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6254-BFD7-4449-8B84-0B2E805ABB16}">
  <sheetPr>
    <tabColor theme="9" tint="0.79998168889431442"/>
  </sheetPr>
  <dimension ref="B2:H11"/>
  <sheetViews>
    <sheetView showGridLines="0" zoomScale="55" zoomScaleNormal="55" workbookViewId="0"/>
  </sheetViews>
  <sheetFormatPr defaultRowHeight="16.8" x14ac:dyDescent="0.4"/>
  <cols>
    <col min="1" max="1" width="3.69921875" customWidth="1"/>
    <col min="2" max="2" width="24.69921875" bestFit="1" customWidth="1"/>
  </cols>
  <sheetData>
    <row r="2" spans="2:8" x14ac:dyDescent="0.4">
      <c r="B2" s="9" t="s">
        <v>124</v>
      </c>
      <c r="C2" s="12">
        <v>2024</v>
      </c>
      <c r="D2" s="12">
        <v>2025</v>
      </c>
      <c r="E2" s="12">
        <v>2026</v>
      </c>
      <c r="F2" s="12">
        <v>2027</v>
      </c>
      <c r="G2" s="12">
        <v>2028</v>
      </c>
      <c r="H2" s="12">
        <v>2029</v>
      </c>
    </row>
    <row r="3" spans="2:8" x14ac:dyDescent="0.4">
      <c r="B3" s="6" t="s">
        <v>194</v>
      </c>
      <c r="C3" s="7">
        <f>+'Model calculation'!C26</f>
        <v>49317.512367999996</v>
      </c>
      <c r="D3" s="7">
        <f>+'Model calculation'!D26</f>
        <v>54128.288612000018</v>
      </c>
      <c r="E3" s="7">
        <f>+'Model calculation'!E26</f>
        <v>57914.961620000016</v>
      </c>
      <c r="F3" s="7">
        <f>+'Model calculation'!F26</f>
        <v>63874.638040000034</v>
      </c>
      <c r="G3" s="7">
        <f>+'Model calculation'!G26</f>
        <v>66888.888800000044</v>
      </c>
      <c r="H3" s="7">
        <f>+'Model calculation'!H26</f>
        <v>72942.121419999967</v>
      </c>
    </row>
    <row r="4" spans="2:8" ht="18" x14ac:dyDescent="0.4">
      <c r="B4" s="6" t="s">
        <v>197</v>
      </c>
      <c r="C4" s="6">
        <v>-12036</v>
      </c>
      <c r="D4" s="6">
        <v>-12123</v>
      </c>
      <c r="E4" s="6">
        <v>-11622</v>
      </c>
      <c r="F4" s="6">
        <v>-11976</v>
      </c>
      <c r="G4" s="6">
        <v>-12036</v>
      </c>
      <c r="H4" s="6">
        <v>-12011</v>
      </c>
    </row>
    <row r="5" spans="2:8" x14ac:dyDescent="0.4">
      <c r="B5" s="6" t="s">
        <v>195</v>
      </c>
      <c r="C5" s="6">
        <v>1500</v>
      </c>
      <c r="D5" s="6">
        <v>1500</v>
      </c>
      <c r="E5" s="6">
        <v>1500</v>
      </c>
      <c r="F5" s="6">
        <v>1500</v>
      </c>
      <c r="G5" s="6">
        <v>1500</v>
      </c>
      <c r="H5" s="6">
        <v>1500</v>
      </c>
    </row>
    <row r="6" spans="2:8" x14ac:dyDescent="0.4">
      <c r="B6" s="6" t="s">
        <v>196</v>
      </c>
      <c r="C6" s="6">
        <v>-800</v>
      </c>
      <c r="D6" s="6">
        <v>-800</v>
      </c>
      <c r="E6" s="6">
        <v>-800</v>
      </c>
      <c r="F6" s="6">
        <v>-800</v>
      </c>
      <c r="G6" s="6">
        <v>-800</v>
      </c>
      <c r="H6" s="6">
        <v>-800</v>
      </c>
    </row>
    <row r="7" spans="2:8" ht="18" x14ac:dyDescent="0.4">
      <c r="B7" s="6" t="s">
        <v>201</v>
      </c>
      <c r="C7" s="7">
        <f>-SUM(C3:C6)*'Key information'!$C$24</f>
        <v>-7216.4873499199994</v>
      </c>
      <c r="D7" s="7">
        <f>-SUM(D3:D6)*'Key information'!$C$24</f>
        <v>-8114.0048362800035</v>
      </c>
      <c r="E7" s="7">
        <f>-SUM(E3:E6)*'Key information'!$C$24</f>
        <v>-8928.6627078000038</v>
      </c>
      <c r="F7" s="7">
        <f>-SUM(F3:F6)*'Key information'!$C$24</f>
        <v>-9993.7412276000068</v>
      </c>
      <c r="G7" s="7">
        <f>-SUM(G3:G6)*'Key information'!$C$24</f>
        <v>-10555.048872000008</v>
      </c>
      <c r="H7" s="7">
        <f>-SUM(H3:H6)*'Key information'!$C$24</f>
        <v>-11709.913069799994</v>
      </c>
    </row>
    <row r="9" spans="2:8" x14ac:dyDescent="0.4">
      <c r="B9" s="87" t="s">
        <v>206</v>
      </c>
    </row>
    <row r="10" spans="2:8" x14ac:dyDescent="0.4">
      <c r="B10" s="86" t="s">
        <v>204</v>
      </c>
    </row>
    <row r="11" spans="2:8" x14ac:dyDescent="0.4">
      <c r="B11" s="86" t="s">
        <v>205</v>
      </c>
    </row>
  </sheetData>
  <phoneticPr fontId="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B1AB-FF75-4295-807B-F3407B3A275D}">
  <sheetPr>
    <tabColor theme="9" tint="0.79998168889431442"/>
  </sheetPr>
  <dimension ref="B2:AD30"/>
  <sheetViews>
    <sheetView showGridLines="0" zoomScale="55" zoomScaleNormal="55" workbookViewId="0"/>
  </sheetViews>
  <sheetFormatPr defaultRowHeight="16.8" x14ac:dyDescent="0.4"/>
  <cols>
    <col min="1" max="1" width="1.5" customWidth="1"/>
    <col min="2" max="2" width="23.09765625" bestFit="1" customWidth="1"/>
    <col min="3" max="8" width="5.59765625" bestFit="1" customWidth="1"/>
  </cols>
  <sheetData>
    <row r="2" spans="2:8" x14ac:dyDescent="0.4">
      <c r="B2" s="10" t="s">
        <v>123</v>
      </c>
    </row>
    <row r="3" spans="2:8" x14ac:dyDescent="0.4">
      <c r="B3" s="9" t="s">
        <v>124</v>
      </c>
      <c r="C3" s="12">
        <v>2024</v>
      </c>
      <c r="D3" s="12">
        <v>2025</v>
      </c>
      <c r="E3" s="12">
        <v>2026</v>
      </c>
      <c r="F3" s="12">
        <v>2027</v>
      </c>
      <c r="G3" s="12">
        <v>2028</v>
      </c>
      <c r="H3" s="12">
        <v>2029</v>
      </c>
    </row>
    <row r="4" spans="2:8" x14ac:dyDescent="0.4">
      <c r="B4" s="6" t="s">
        <v>125</v>
      </c>
      <c r="C4" s="7">
        <v>52</v>
      </c>
      <c r="D4" s="7">
        <v>56.13</v>
      </c>
      <c r="E4" s="7">
        <v>60.83</v>
      </c>
      <c r="F4" s="7">
        <v>65.72</v>
      </c>
      <c r="G4" s="7">
        <v>69.41</v>
      </c>
      <c r="H4" s="7">
        <v>73.75</v>
      </c>
    </row>
    <row r="5" spans="2:8" x14ac:dyDescent="0.4">
      <c r="B5" s="6" t="s">
        <v>126</v>
      </c>
      <c r="C5" s="7">
        <v>120</v>
      </c>
      <c r="D5" s="7">
        <v>129.52000000000001</v>
      </c>
      <c r="E5" s="7">
        <v>140.38</v>
      </c>
      <c r="F5" s="7">
        <v>151.65</v>
      </c>
      <c r="G5" s="7">
        <v>160.18</v>
      </c>
      <c r="H5" s="7">
        <v>170.2</v>
      </c>
    </row>
    <row r="6" spans="2:8" x14ac:dyDescent="0.4">
      <c r="B6" s="6" t="s">
        <v>127</v>
      </c>
      <c r="C6" s="7">
        <v>-49</v>
      </c>
      <c r="D6" s="7">
        <v>-52.89</v>
      </c>
      <c r="E6" s="7">
        <v>-57.32</v>
      </c>
      <c r="F6" s="7">
        <v>-61.92</v>
      </c>
      <c r="G6" s="7">
        <v>-65.41</v>
      </c>
      <c r="H6" s="7">
        <v>-69.5</v>
      </c>
    </row>
    <row r="7" spans="2:8" x14ac:dyDescent="0.4">
      <c r="B7" s="6" t="s">
        <v>93</v>
      </c>
      <c r="C7" s="7">
        <f>+SUM(C4:C6)</f>
        <v>123</v>
      </c>
      <c r="D7" s="7">
        <f t="shared" ref="D7:H7" si="0">+SUM(D4:D6)</f>
        <v>132.76</v>
      </c>
      <c r="E7" s="7">
        <f t="shared" si="0"/>
        <v>143.88999999999999</v>
      </c>
      <c r="F7" s="7">
        <f t="shared" si="0"/>
        <v>155.44999999999999</v>
      </c>
      <c r="G7" s="7">
        <f t="shared" si="0"/>
        <v>164.18</v>
      </c>
      <c r="H7" s="7">
        <f t="shared" si="0"/>
        <v>174.45</v>
      </c>
    </row>
    <row r="8" spans="2:8" x14ac:dyDescent="0.4">
      <c r="C8" s="4"/>
      <c r="D8" s="4"/>
      <c r="E8" s="4"/>
      <c r="F8" s="4"/>
      <c r="G8" s="4"/>
      <c r="H8" s="4"/>
    </row>
    <row r="9" spans="2:8" x14ac:dyDescent="0.4">
      <c r="B9" s="6" t="s">
        <v>128</v>
      </c>
      <c r="C9" s="7"/>
      <c r="D9" s="7">
        <f>+C7-D7</f>
        <v>-9.7599999999999909</v>
      </c>
      <c r="E9" s="7">
        <f>+D7-E7</f>
        <v>-11.129999999999995</v>
      </c>
      <c r="F9" s="7">
        <f>+E7-F7</f>
        <v>-11.560000000000002</v>
      </c>
      <c r="G9" s="7">
        <f>+F7-G7</f>
        <v>-8.7300000000000182</v>
      </c>
      <c r="H9" s="7">
        <f>+G7-H7</f>
        <v>-10.269999999999982</v>
      </c>
    </row>
    <row r="30" spans="30:30" x14ac:dyDescent="0.4">
      <c r="AD30" s="113" t="s">
        <v>222</v>
      </c>
    </row>
  </sheetData>
  <phoneticPr fontId="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617F-3C4E-4E47-97D4-49132634FA24}">
  <sheetPr>
    <tabColor theme="9" tint="0.79998168889431442"/>
  </sheetPr>
  <dimension ref="B2:D27"/>
  <sheetViews>
    <sheetView showGridLines="0" zoomScale="55" zoomScaleNormal="55" workbookViewId="0"/>
  </sheetViews>
  <sheetFormatPr defaultRowHeight="16.8" x14ac:dyDescent="0.4"/>
  <cols>
    <col min="1" max="1" width="2.796875" customWidth="1"/>
    <col min="2" max="2" width="21.796875" bestFit="1" customWidth="1"/>
    <col min="3" max="3" width="7.296875" bestFit="1" customWidth="1"/>
    <col min="5" max="5" width="11.296875" bestFit="1" customWidth="1"/>
    <col min="6" max="6" width="6.296875" bestFit="1" customWidth="1"/>
  </cols>
  <sheetData>
    <row r="2" spans="2:4" ht="18" x14ac:dyDescent="0.4">
      <c r="B2" s="10" t="s">
        <v>202</v>
      </c>
    </row>
    <row r="4" spans="2:4" x14ac:dyDescent="0.4">
      <c r="B4" s="17" t="s">
        <v>133</v>
      </c>
      <c r="C4" s="18">
        <f>+C8*C24+C9*C18</f>
        <v>7.2417255318000015E-2</v>
      </c>
    </row>
    <row r="5" spans="2:4" x14ac:dyDescent="0.4">
      <c r="B5" s="17" t="s">
        <v>134</v>
      </c>
      <c r="C5" s="18">
        <f>+ROUNDUP(C4,4)</f>
        <v>7.2500000000000009E-2</v>
      </c>
      <c r="D5" s="5"/>
    </row>
    <row r="7" spans="2:4" x14ac:dyDescent="0.4">
      <c r="B7" s="10" t="s">
        <v>146</v>
      </c>
    </row>
    <row r="8" spans="2:4" x14ac:dyDescent="0.4">
      <c r="B8" s="6" t="s">
        <v>143</v>
      </c>
      <c r="C8" s="14">
        <v>0.48659999999999998</v>
      </c>
    </row>
    <row r="9" spans="2:4" x14ac:dyDescent="0.4">
      <c r="B9" s="6" t="s">
        <v>144</v>
      </c>
      <c r="C9" s="14">
        <f>1-C8</f>
        <v>0.51340000000000008</v>
      </c>
    </row>
    <row r="11" spans="2:4" x14ac:dyDescent="0.4">
      <c r="B11" s="10" t="s">
        <v>135</v>
      </c>
    </row>
    <row r="12" spans="2:4" x14ac:dyDescent="0.4">
      <c r="B12" s="6" t="s">
        <v>137</v>
      </c>
      <c r="C12" s="14">
        <v>2.2499999999999999E-2</v>
      </c>
    </row>
    <row r="13" spans="2:4" x14ac:dyDescent="0.4">
      <c r="B13" s="6" t="s">
        <v>138</v>
      </c>
      <c r="C13" s="6">
        <v>0.81</v>
      </c>
    </row>
    <row r="14" spans="2:4" x14ac:dyDescent="0.4">
      <c r="B14" s="6" t="s">
        <v>139</v>
      </c>
      <c r="C14" s="14">
        <f>+C8/C9</f>
        <v>0.94779898714452648</v>
      </c>
    </row>
    <row r="15" spans="2:4" x14ac:dyDescent="0.4">
      <c r="B15" s="6" t="s">
        <v>145</v>
      </c>
      <c r="C15" s="15">
        <f>+C13*(1+(1-C16)*C14)</f>
        <v>1.4318509154655239</v>
      </c>
    </row>
    <row r="16" spans="2:4" x14ac:dyDescent="0.4">
      <c r="B16" s="6" t="s">
        <v>140</v>
      </c>
      <c r="C16" s="8">
        <f>+'Key information'!C24</f>
        <v>0.19</v>
      </c>
    </row>
    <row r="17" spans="2:3" x14ac:dyDescent="0.4">
      <c r="B17" s="6" t="s">
        <v>141</v>
      </c>
      <c r="C17" s="14">
        <v>6.4299999999999996E-2</v>
      </c>
    </row>
    <row r="18" spans="2:3" x14ac:dyDescent="0.4">
      <c r="B18" s="11" t="s">
        <v>135</v>
      </c>
      <c r="C18" s="16">
        <f>+C12+C15*C17</f>
        <v>0.11456801386443319</v>
      </c>
    </row>
    <row r="20" spans="2:3" x14ac:dyDescent="0.4">
      <c r="B20" s="10" t="s">
        <v>136</v>
      </c>
    </row>
    <row r="21" spans="2:3" x14ac:dyDescent="0.4">
      <c r="B21" s="6" t="s">
        <v>137</v>
      </c>
      <c r="C21" s="14">
        <f>+C12</f>
        <v>2.2499999999999999E-2</v>
      </c>
    </row>
    <row r="22" spans="2:3" x14ac:dyDescent="0.4">
      <c r="B22" s="6" t="s">
        <v>142</v>
      </c>
      <c r="C22" s="14">
        <v>1.2E-2</v>
      </c>
    </row>
    <row r="23" spans="2:3" x14ac:dyDescent="0.4">
      <c r="B23" s="6" t="s">
        <v>140</v>
      </c>
      <c r="C23" s="8">
        <f>+C16</f>
        <v>0.19</v>
      </c>
    </row>
    <row r="24" spans="2:3" x14ac:dyDescent="0.4">
      <c r="B24" s="11" t="s">
        <v>136</v>
      </c>
      <c r="C24" s="16">
        <f>+(C21+C22)*(1-C23)</f>
        <v>2.7945000000000005E-2</v>
      </c>
    </row>
    <row r="26" spans="2:3" x14ac:dyDescent="0.4">
      <c r="B26" s="87" t="s">
        <v>206</v>
      </c>
    </row>
    <row r="27" spans="2:3" x14ac:dyDescent="0.4">
      <c r="B27" s="86" t="s">
        <v>203</v>
      </c>
    </row>
  </sheetData>
  <phoneticPr fontId="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F56B-665D-40FB-BF9F-FFEFD452C1BA}">
  <sheetPr>
    <tabColor theme="9" tint="0.79998168889431442"/>
  </sheetPr>
  <dimension ref="B2:E20"/>
  <sheetViews>
    <sheetView showGridLines="0" zoomScale="55" zoomScaleNormal="55" workbookViewId="0"/>
  </sheetViews>
  <sheetFormatPr defaultColWidth="8.8984375" defaultRowHeight="16.8" x14ac:dyDescent="0.4"/>
  <cols>
    <col min="1" max="1" width="4.09765625" style="19" customWidth="1"/>
    <col min="2" max="2" width="14" style="19" customWidth="1"/>
    <col min="3" max="3" width="32.3984375" style="19" customWidth="1"/>
    <col min="4" max="5" width="45.796875" style="23" customWidth="1"/>
    <col min="6" max="16384" width="8.8984375" style="19"/>
  </cols>
  <sheetData>
    <row r="2" spans="2:5" ht="18" x14ac:dyDescent="0.4">
      <c r="B2" s="19" t="s">
        <v>207</v>
      </c>
    </row>
    <row r="4" spans="2:5" x14ac:dyDescent="0.4">
      <c r="B4" s="9" t="s">
        <v>147</v>
      </c>
      <c r="C4" s="9" t="s">
        <v>148</v>
      </c>
      <c r="D4" s="9" t="s">
        <v>99</v>
      </c>
      <c r="E4" s="9" t="s">
        <v>149</v>
      </c>
    </row>
    <row r="5" spans="2:5" ht="117.6" x14ac:dyDescent="0.4">
      <c r="B5" s="20" t="s">
        <v>168</v>
      </c>
      <c r="C5" s="20" t="s">
        <v>150</v>
      </c>
      <c r="D5" s="21" t="s">
        <v>167</v>
      </c>
      <c r="E5" s="21" t="s">
        <v>156</v>
      </c>
    </row>
    <row r="6" spans="2:5" ht="117.6" x14ac:dyDescent="0.4">
      <c r="B6" s="20" t="s">
        <v>168</v>
      </c>
      <c r="C6" s="20" t="s">
        <v>151</v>
      </c>
      <c r="D6" s="21" t="s">
        <v>166</v>
      </c>
      <c r="E6" s="21" t="s">
        <v>157</v>
      </c>
    </row>
    <row r="7" spans="2:5" ht="117.6" x14ac:dyDescent="0.4">
      <c r="B7" s="20" t="s">
        <v>168</v>
      </c>
      <c r="C7" s="20" t="s">
        <v>152</v>
      </c>
      <c r="D7" s="21" t="s">
        <v>165</v>
      </c>
      <c r="E7" s="21" t="s">
        <v>158</v>
      </c>
    </row>
    <row r="8" spans="2:5" ht="117.6" x14ac:dyDescent="0.4">
      <c r="B8" s="20" t="s">
        <v>168</v>
      </c>
      <c r="C8" s="20" t="s">
        <v>153</v>
      </c>
      <c r="D8" s="21" t="s">
        <v>164</v>
      </c>
      <c r="E8" s="21" t="s">
        <v>159</v>
      </c>
    </row>
    <row r="9" spans="2:5" ht="117.6" x14ac:dyDescent="0.4">
      <c r="B9" s="20" t="s">
        <v>168</v>
      </c>
      <c r="C9" s="20" t="s">
        <v>154</v>
      </c>
      <c r="D9" s="21" t="s">
        <v>163</v>
      </c>
      <c r="E9" s="21" t="s">
        <v>160</v>
      </c>
    </row>
    <row r="10" spans="2:5" ht="117.6" x14ac:dyDescent="0.4">
      <c r="B10" s="20" t="s">
        <v>169</v>
      </c>
      <c r="C10" s="20" t="s">
        <v>155</v>
      </c>
      <c r="D10" s="21" t="s">
        <v>162</v>
      </c>
      <c r="E10" s="21" t="s">
        <v>161</v>
      </c>
    </row>
    <row r="11" spans="2:5" x14ac:dyDescent="0.4">
      <c r="C11" s="22"/>
    </row>
    <row r="12" spans="2:5" x14ac:dyDescent="0.4">
      <c r="B12" s="87" t="s">
        <v>206</v>
      </c>
    </row>
    <row r="13" spans="2:5" x14ac:dyDescent="0.4">
      <c r="B13" s="86" t="s">
        <v>203</v>
      </c>
    </row>
    <row r="15" spans="2:5" x14ac:dyDescent="0.4">
      <c r="E15" s="24"/>
    </row>
    <row r="20" spans="5:5" x14ac:dyDescent="0.4">
      <c r="E20" s="24"/>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vt:lpstr>
      <vt:lpstr>Key information</vt:lpstr>
      <vt:lpstr>Model calculation</vt:lpstr>
      <vt:lpstr>Sensitivity analysis</vt:lpstr>
      <vt:lpstr>CAPEX, D&amp;A</vt:lpstr>
      <vt:lpstr>Corporate cost allocations</vt:lpstr>
      <vt:lpstr>Tax</vt:lpstr>
      <vt:lpstr>Net working capital</vt:lpstr>
      <vt:lpstr>Discount rate</vt:lpstr>
      <vt:lpstr>Peer group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2024-10-05T13:54:39Z</dcterms:created>
  <dcterms:modified xsi:type="dcterms:W3CDTF">2024-10-05T14:17:24Z</dcterms:modified>
</cp:coreProperties>
</file>